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ELZADM-HV\All_doc\ДЛЯ САЙТА\05-СЕССИЯ 08.07.22\РСД №167  отчет за 1 квартал 2022г\"/>
    </mc:Choice>
  </mc:AlternateContent>
  <xr:revisionPtr revIDLastSave="0" documentId="8_{2D43A5CC-C6FE-4715-8F05-C939D93E88B5}" xr6:coauthVersionLast="47" xr6:coauthVersionMax="47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0" i="1" l="1"/>
  <c r="R70" i="1"/>
  <c r="R34" i="1"/>
  <c r="T34" i="1" s="1"/>
  <c r="S38" i="1"/>
  <c r="S49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5" i="1"/>
  <c r="T36" i="1"/>
  <c r="T37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8" i="1"/>
  <c r="T69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S13" i="1"/>
  <c r="S90" i="1" s="1"/>
  <c r="T90" i="1" s="1"/>
  <c r="T70" i="1"/>
  <c r="R67" i="1"/>
  <c r="T67" i="1" s="1"/>
  <c r="R49" i="1"/>
  <c r="R38" i="1"/>
  <c r="R13" i="1"/>
  <c r="R90" i="1" s="1"/>
  <c r="C13" i="1"/>
  <c r="C90" i="1" s="1"/>
  <c r="X13" i="1"/>
  <c r="F14" i="1"/>
  <c r="K14" i="1"/>
  <c r="U14" i="1"/>
  <c r="V14" i="1"/>
  <c r="Y14" i="1"/>
  <c r="D15" i="1"/>
  <c r="G15" i="1"/>
  <c r="F15" i="1" s="1"/>
  <c r="F13" i="1" s="1"/>
  <c r="J15" i="1"/>
  <c r="K15" i="1"/>
  <c r="Y15" i="1"/>
  <c r="F16" i="1"/>
  <c r="K16" i="1"/>
  <c r="F17" i="1"/>
  <c r="J17" i="1"/>
  <c r="U17" i="1" s="1"/>
  <c r="L17" i="1"/>
  <c r="Y17" i="1"/>
  <c r="K17" i="1"/>
  <c r="G18" i="1"/>
  <c r="F18" i="1" s="1"/>
  <c r="K18" i="1"/>
  <c r="D21" i="1"/>
  <c r="D13" i="1" s="1"/>
  <c r="D90" i="1" s="1"/>
  <c r="E21" i="1"/>
  <c r="E13" i="1" s="1"/>
  <c r="G21" i="1"/>
  <c r="H21" i="1"/>
  <c r="H13" i="1" s="1"/>
  <c r="H90" i="1" s="1"/>
  <c r="I21" i="1"/>
  <c r="I13" i="1"/>
  <c r="J21" i="1"/>
  <c r="L21" i="1"/>
  <c r="N21" i="1"/>
  <c r="N13" i="1"/>
  <c r="F22" i="1"/>
  <c r="K22" i="1"/>
  <c r="U22" i="1"/>
  <c r="V22" i="1"/>
  <c r="Y22" i="1"/>
  <c r="F23" i="1"/>
  <c r="K23" i="1"/>
  <c r="U23" i="1"/>
  <c r="V23" i="1"/>
  <c r="Y23" i="1"/>
  <c r="F24" i="1"/>
  <c r="K24" i="1"/>
  <c r="U24" i="1"/>
  <c r="V24" i="1"/>
  <c r="Y24" i="1"/>
  <c r="F25" i="1"/>
  <c r="M25" i="1"/>
  <c r="M21" i="1" s="1"/>
  <c r="Y25" i="1"/>
  <c r="F26" i="1"/>
  <c r="K26" i="1"/>
  <c r="Y26" i="1"/>
  <c r="F27" i="1"/>
  <c r="K27" i="1"/>
  <c r="Y27" i="1"/>
  <c r="F28" i="1"/>
  <c r="K28" i="1"/>
  <c r="U28" i="1"/>
  <c r="V28" i="1"/>
  <c r="Y28" i="1"/>
  <c r="F30" i="1"/>
  <c r="K30" i="1"/>
  <c r="Y30" i="1"/>
  <c r="F31" i="1"/>
  <c r="K31" i="1"/>
  <c r="U31" i="1"/>
  <c r="V31" i="1"/>
  <c r="Y31" i="1"/>
  <c r="F32" i="1"/>
  <c r="K32" i="1"/>
  <c r="U32" i="1"/>
  <c r="V32" i="1"/>
  <c r="Y32" i="1"/>
  <c r="F33" i="1"/>
  <c r="K33" i="1"/>
  <c r="U33" i="1"/>
  <c r="V33" i="1"/>
  <c r="Y33" i="1"/>
  <c r="C34" i="1"/>
  <c r="D34" i="1"/>
  <c r="E34" i="1"/>
  <c r="H34" i="1"/>
  <c r="I34" i="1"/>
  <c r="J34" i="1"/>
  <c r="L34" i="1"/>
  <c r="Y34" i="1" s="1"/>
  <c r="M34" i="1"/>
  <c r="N34" i="1"/>
  <c r="X34" i="1"/>
  <c r="F34" i="1"/>
  <c r="F35" i="1"/>
  <c r="K35" i="1"/>
  <c r="U35" i="1"/>
  <c r="V35" i="1"/>
  <c r="Y35" i="1"/>
  <c r="F36" i="1"/>
  <c r="K36" i="1"/>
  <c r="U36" i="1"/>
  <c r="V36" i="1"/>
  <c r="Y36" i="1"/>
  <c r="C38" i="1"/>
  <c r="D38" i="1"/>
  <c r="X38" i="1"/>
  <c r="Y38" i="1" s="1"/>
  <c r="G41" i="1"/>
  <c r="U41" i="1" s="1"/>
  <c r="K41" i="1"/>
  <c r="Y41" i="1"/>
  <c r="H42" i="1"/>
  <c r="F42" i="1" s="1"/>
  <c r="K42" i="1"/>
  <c r="Y42" i="1"/>
  <c r="F43" i="1"/>
  <c r="K43" i="1"/>
  <c r="U43" i="1"/>
  <c r="V43" i="1"/>
  <c r="F44" i="1"/>
  <c r="K44" i="1"/>
  <c r="U44" i="1"/>
  <c r="V44" i="1"/>
  <c r="Y44" i="1"/>
  <c r="F45" i="1"/>
  <c r="K45" i="1"/>
  <c r="P45" i="1"/>
  <c r="U45" i="1"/>
  <c r="V45" i="1"/>
  <c r="Y45" i="1"/>
  <c r="E46" i="1"/>
  <c r="E38" i="1" s="1"/>
  <c r="H46" i="1"/>
  <c r="I46" i="1"/>
  <c r="I38" i="1"/>
  <c r="J46" i="1"/>
  <c r="J38" i="1" s="1"/>
  <c r="L46" i="1"/>
  <c r="Y46" i="1"/>
  <c r="M46" i="1"/>
  <c r="M38" i="1" s="1"/>
  <c r="N46" i="1"/>
  <c r="N38" i="1"/>
  <c r="F47" i="1"/>
  <c r="K47" i="1"/>
  <c r="U47" i="1"/>
  <c r="V47" i="1"/>
  <c r="Y47" i="1"/>
  <c r="G48" i="1"/>
  <c r="U48" i="1"/>
  <c r="K48" i="1"/>
  <c r="C49" i="1"/>
  <c r="D49" i="1"/>
  <c r="G50" i="1"/>
  <c r="F50" i="1"/>
  <c r="K50" i="1"/>
  <c r="G51" i="1"/>
  <c r="F51" i="1"/>
  <c r="J51" i="1"/>
  <c r="U51" i="1" s="1"/>
  <c r="K51" i="1"/>
  <c r="Y51" i="1"/>
  <c r="F52" i="1"/>
  <c r="K52" i="1"/>
  <c r="E53" i="1"/>
  <c r="E49" i="1" s="1"/>
  <c r="H53" i="1"/>
  <c r="H49" i="1"/>
  <c r="I53" i="1"/>
  <c r="I49" i="1" s="1"/>
  <c r="J53" i="1"/>
  <c r="L53" i="1"/>
  <c r="Y53" i="1" s="1"/>
  <c r="M53" i="1"/>
  <c r="M49" i="1"/>
  <c r="N53" i="1"/>
  <c r="N49" i="1" s="1"/>
  <c r="N90" i="1" s="1"/>
  <c r="N94" i="1" s="1"/>
  <c r="X53" i="1"/>
  <c r="X49" i="1"/>
  <c r="G54" i="1"/>
  <c r="V54" i="1" s="1"/>
  <c r="K54" i="1"/>
  <c r="Y54" i="1"/>
  <c r="F55" i="1"/>
  <c r="K55" i="1"/>
  <c r="U55" i="1"/>
  <c r="V55" i="1"/>
  <c r="Y55" i="1"/>
  <c r="F56" i="1"/>
  <c r="K56" i="1"/>
  <c r="F57" i="1"/>
  <c r="K57" i="1"/>
  <c r="U57" i="1"/>
  <c r="V57" i="1"/>
  <c r="Y57" i="1"/>
  <c r="E58" i="1"/>
  <c r="G58" i="1"/>
  <c r="H58" i="1"/>
  <c r="I58" i="1"/>
  <c r="J58" i="1"/>
  <c r="U58" i="1" s="1"/>
  <c r="L58" i="1"/>
  <c r="V58" i="1"/>
  <c r="M58" i="1"/>
  <c r="N58" i="1"/>
  <c r="X58" i="1"/>
  <c r="F59" i="1"/>
  <c r="F60" i="1"/>
  <c r="F58" i="1" s="1"/>
  <c r="K60" i="1"/>
  <c r="K58" i="1"/>
  <c r="U60" i="1"/>
  <c r="V60" i="1"/>
  <c r="C61" i="1"/>
  <c r="D61" i="1"/>
  <c r="G62" i="1"/>
  <c r="U62" i="1" s="1"/>
  <c r="H62" i="1"/>
  <c r="K62" i="1"/>
  <c r="V62" i="1"/>
  <c r="Y62" i="1"/>
  <c r="G63" i="1"/>
  <c r="H63" i="1"/>
  <c r="I63" i="1"/>
  <c r="I61" i="1" s="1"/>
  <c r="M63" i="1"/>
  <c r="N63" i="1"/>
  <c r="Y63" i="1"/>
  <c r="G64" i="1"/>
  <c r="I64" i="1"/>
  <c r="K64" i="1"/>
  <c r="Y64" i="1"/>
  <c r="E65" i="1"/>
  <c r="E61" i="1" s="1"/>
  <c r="H65" i="1"/>
  <c r="I65" i="1"/>
  <c r="J65" i="1"/>
  <c r="J61" i="1" s="1"/>
  <c r="L65" i="1"/>
  <c r="M65" i="1"/>
  <c r="N65" i="1"/>
  <c r="N61" i="1" s="1"/>
  <c r="X65" i="1"/>
  <c r="X61" i="1"/>
  <c r="G65" i="1"/>
  <c r="V65" i="1" s="1"/>
  <c r="C70" i="1"/>
  <c r="D70" i="1"/>
  <c r="E70" i="1"/>
  <c r="G70" i="1"/>
  <c r="H70" i="1"/>
  <c r="I70" i="1"/>
  <c r="L70" i="1"/>
  <c r="V70" i="1" s="1"/>
  <c r="M70" i="1"/>
  <c r="N70" i="1"/>
  <c r="X70" i="1"/>
  <c r="F71" i="1"/>
  <c r="J71" i="1"/>
  <c r="K71" i="1"/>
  <c r="F72" i="1"/>
  <c r="J72" i="1"/>
  <c r="K72" i="1"/>
  <c r="V72" i="1"/>
  <c r="Y72" i="1"/>
  <c r="F73" i="1"/>
  <c r="F70" i="1" s="1"/>
  <c r="J73" i="1"/>
  <c r="U73" i="1" s="1"/>
  <c r="K73" i="1"/>
  <c r="V73" i="1"/>
  <c r="Y73" i="1"/>
  <c r="F74" i="1"/>
  <c r="K74" i="1"/>
  <c r="U74" i="1"/>
  <c r="V74" i="1"/>
  <c r="Y74" i="1"/>
  <c r="C75" i="1"/>
  <c r="D75" i="1"/>
  <c r="E75" i="1"/>
  <c r="G75" i="1"/>
  <c r="H75" i="1"/>
  <c r="I75" i="1"/>
  <c r="J75" i="1"/>
  <c r="K75" i="1"/>
  <c r="L75" i="1"/>
  <c r="M75" i="1"/>
  <c r="N75" i="1"/>
  <c r="F77" i="1"/>
  <c r="F75" i="1" s="1"/>
  <c r="U77" i="1"/>
  <c r="G78" i="1"/>
  <c r="F78" i="1" s="1"/>
  <c r="K78" i="1"/>
  <c r="Y78" i="1"/>
  <c r="I79" i="1"/>
  <c r="F79" i="1" s="1"/>
  <c r="K79" i="1"/>
  <c r="U79" i="1"/>
  <c r="Y79" i="1"/>
  <c r="F80" i="1"/>
  <c r="K80" i="1"/>
  <c r="U80" i="1"/>
  <c r="V80" i="1"/>
  <c r="Y80" i="1"/>
  <c r="F81" i="1"/>
  <c r="M81" i="1"/>
  <c r="K81" i="1" s="1"/>
  <c r="U81" i="1"/>
  <c r="V81" i="1"/>
  <c r="Y81" i="1"/>
  <c r="F82" i="1"/>
  <c r="K82" i="1"/>
  <c r="Y82" i="1"/>
  <c r="F83" i="1"/>
  <c r="L83" i="1"/>
  <c r="V83" i="1" s="1"/>
  <c r="U83" i="1"/>
  <c r="C84" i="1"/>
  <c r="D84" i="1"/>
  <c r="E84" i="1"/>
  <c r="G84" i="1"/>
  <c r="U84" i="1" s="1"/>
  <c r="H84" i="1"/>
  <c r="I84" i="1"/>
  <c r="J84" i="1"/>
  <c r="M84" i="1"/>
  <c r="N84" i="1"/>
  <c r="X84" i="1"/>
  <c r="F85" i="1"/>
  <c r="L85" i="1"/>
  <c r="L84" i="1" s="1"/>
  <c r="Y85" i="1"/>
  <c r="U85" i="1"/>
  <c r="F86" i="1"/>
  <c r="F87" i="1"/>
  <c r="U87" i="1"/>
  <c r="U88" i="1"/>
  <c r="V88" i="1"/>
  <c r="F91" i="1"/>
  <c r="G94" i="1"/>
  <c r="G95" i="1"/>
  <c r="H38" i="1"/>
  <c r="G34" i="1"/>
  <c r="G46" i="1"/>
  <c r="F46" i="1" s="1"/>
  <c r="U63" i="1"/>
  <c r="V63" i="1"/>
  <c r="U54" i="1"/>
  <c r="U50" i="1"/>
  <c r="V50" i="1"/>
  <c r="L13" i="1"/>
  <c r="V18" i="1"/>
  <c r="V34" i="1"/>
  <c r="U64" i="1"/>
  <c r="K63" i="1"/>
  <c r="J70" i="1"/>
  <c r="U70" i="1" s="1"/>
  <c r="F64" i="1"/>
  <c r="Y70" i="1"/>
  <c r="V17" i="1"/>
  <c r="Y83" i="1"/>
  <c r="F48" i="1"/>
  <c r="U34" i="1"/>
  <c r="Y13" i="1"/>
  <c r="H61" i="1"/>
  <c r="V51" i="1"/>
  <c r="K70" i="1"/>
  <c r="V64" i="1"/>
  <c r="V48" i="1"/>
  <c r="V85" i="1"/>
  <c r="U72" i="1"/>
  <c r="F65" i="1"/>
  <c r="M61" i="1"/>
  <c r="V41" i="1"/>
  <c r="F21" i="1"/>
  <c r="U18" i="1"/>
  <c r="Y65" i="1"/>
  <c r="F84" i="1"/>
  <c r="J49" i="1"/>
  <c r="F41" i="1"/>
  <c r="F38" i="1" s="1"/>
  <c r="K34" i="1"/>
  <c r="U15" i="1"/>
  <c r="T38" i="1"/>
  <c r="K83" i="1"/>
  <c r="L61" i="1"/>
  <c r="K46" i="1"/>
  <c r="K38" i="1" s="1"/>
  <c r="V46" i="1"/>
  <c r="L38" i="1"/>
  <c r="F63" i="1"/>
  <c r="T13" i="1"/>
  <c r="Y61" i="1"/>
  <c r="T49" i="1"/>
  <c r="Y84" i="1" l="1"/>
  <c r="V84" i="1"/>
  <c r="I90" i="1"/>
  <c r="M13" i="1"/>
  <c r="M90" i="1" s="1"/>
  <c r="K21" i="1"/>
  <c r="E90" i="1"/>
  <c r="K13" i="1"/>
  <c r="U65" i="1"/>
  <c r="X90" i="1"/>
  <c r="K65" i="1"/>
  <c r="K61" i="1" s="1"/>
  <c r="V78" i="1"/>
  <c r="K53" i="1"/>
  <c r="K49" i="1" s="1"/>
  <c r="V61" i="1"/>
  <c r="F62" i="1"/>
  <c r="F61" i="1" s="1"/>
  <c r="G13" i="1"/>
  <c r="G61" i="1"/>
  <c r="U61" i="1" s="1"/>
  <c r="G38" i="1"/>
  <c r="V38" i="1" s="1"/>
  <c r="K85" i="1"/>
  <c r="K84" i="1" s="1"/>
  <c r="K25" i="1"/>
  <c r="F54" i="1"/>
  <c r="U78" i="1"/>
  <c r="J13" i="1"/>
  <c r="V15" i="1"/>
  <c r="U46" i="1"/>
  <c r="L49" i="1"/>
  <c r="L90" i="1" s="1"/>
  <c r="G53" i="1"/>
  <c r="Y90" i="1" l="1"/>
  <c r="W34" i="1"/>
  <c r="L94" i="1"/>
  <c r="W61" i="1"/>
  <c r="W38" i="1"/>
  <c r="W84" i="1"/>
  <c r="W70" i="1"/>
  <c r="W13" i="1"/>
  <c r="W90" i="1" s="1"/>
  <c r="K90" i="1"/>
  <c r="U38" i="1"/>
  <c r="V13" i="1"/>
  <c r="W49" i="1"/>
  <c r="Y49" i="1"/>
  <c r="G49" i="1"/>
  <c r="U49" i="1" s="1"/>
  <c r="F53" i="1"/>
  <c r="F49" i="1" s="1"/>
  <c r="F90" i="1" s="1"/>
  <c r="U53" i="1"/>
  <c r="J90" i="1"/>
  <c r="U13" i="1"/>
  <c r="V53" i="1"/>
  <c r="V49" i="1" l="1"/>
  <c r="G90" i="1"/>
  <c r="G98" i="1" l="1"/>
  <c r="V90" i="1"/>
  <c r="U90" i="1"/>
</calcChain>
</file>

<file path=xl/comments1.xml><?xml version="1.0" encoding="utf-8"?>
<comments xmlns="http://schemas.openxmlformats.org/spreadsheetml/2006/main">
  <authors>
    <author/>
  </authors>
  <commentList>
    <comment ref="J8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  <comment ref="L8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<sst xmlns="http://schemas.openxmlformats.org/spreadsheetml/2006/main" count="195" uniqueCount="170">
  <si>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</si>
  <si>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</si>
  <si>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</si>
  <si>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</si>
  <si>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</si>
  <si>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</si>
  <si>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</si>
  <si>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</si>
  <si>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</si>
  <si>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</si>
  <si>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</si>
  <si>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</si>
  <si>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</si>
  <si>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</si>
  <si>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</si>
  <si>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</si>
  <si>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</si>
  <si>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</si>
  <si>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</si>
  <si>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</si>
  <si>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</si>
  <si>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</si>
  <si>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</si>
  <si>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</si>
  <si>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</si>
  <si>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</si>
  <si>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</si>
  <si>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</si>
  <si>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</si>
  <si>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</si>
  <si>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</si>
  <si>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</si>
  <si>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</si>
  <si>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</si>
  <si>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</si>
  <si>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</si>
  <si>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</si>
  <si>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</si>
  <si>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</si>
  <si>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</si>
  <si>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</si>
  <si>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</si>
  <si>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</si>
  <si>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</si>
  <si>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</si>
  <si>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</si>
  <si>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</si>
  <si>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</si>
  <si>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</si>
  <si>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</si>
  <si>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</si>
  <si>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</si>
  <si>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</si>
  <si>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</si>
  <si>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</si>
  <si>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</si>
  <si>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</si>
  <si>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</si>
  <si>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</si>
  <si>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</si>
  <si>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</si>
  <si>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</si>
  <si>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</si>
  <si>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</si>
  <si>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</si>
  <si>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</si>
  <si>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</si>
  <si>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</si>
  <si>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</si>
  <si>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</si>
  <si>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</si>
  <si>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</si>
  <si>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</si>
  <si>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</si>
  <si>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</si>
  <si>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</si>
  <si>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</si>
  <si>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</si>
  <si>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</si>
  <si>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</si>
  <si>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</si>
  <si>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</si>
  <si>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</si>
  <si>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</si>
  <si>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</si>
  <si>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</si>
  <si>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</si>
  <si>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</si>
  <si>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</si>
  <si>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</si>
  <si>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</si>
  <si>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</si>
  <si>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</si>
  <si>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</si>
  <si>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</si>
  <si>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</si>
  <si>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</si>
  <si>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</si>
  <si>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</si>
  <si>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</si>
  <si>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</si>
  <si>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</si>
  <si>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</si>
  <si>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</si>
  <si>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</si>
  <si>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</si>
  <si>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</si>
  <si>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</si>
  <si>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</si>
  <si>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</si>
  <si>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</si>
  <si>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</si>
  <si>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</si>
  <si>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</si>
  <si>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</si>
  <si>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</si>
  <si>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</si>
  <si>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</si>
  <si>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</si>
  <si>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</si>
  <si>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</si>
  <si>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</si>
  <si>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</si>
  <si>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</si>
  <si>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</si>
  <si>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</si>
  <si>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</si>
  <si>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</si>
  <si>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</si>
  <si>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</si>
  <si>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</si>
  <si>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</si>
  <si>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</si>
  <si>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</si>
  <si>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</si>
  <si>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</si>
  <si>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</si>
  <si>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</si>
  <si>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</si>
  <si>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</si>
  <si>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</si>
  <si>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</si>
  <si>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</si>
  <si>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</si>
  <si>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</si>
  <si>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</si>
  <si>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</si>
  <si>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</si>
  <si>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</si>
  <si>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</si>
  <si>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</si>
  <si>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</si>
  <si>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</si>
  <si>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</si>
  <si>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</si>
  <si>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</si>
  <si>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</si>
  <si>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</si>
  <si>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</si>
  <si>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</si>
  <si>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</si>
  <si>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</si>
  <si>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жилищно-коммунального хозяйства</t>
  </si>
  <si>
    <t>к постановлению администрации</t>
  </si>
  <si>
    <t>% исполнения</t>
  </si>
  <si>
    <t>Приложение 4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</si>
  <si>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квартал 2022 года </t>
  </si>
  <si>
    <t>Бюджет  2022 год, (тыс.руб.)</t>
  </si>
  <si>
    <t>Исполнено за 1 квартал 2022 года (тыс. руб.)</t>
  </si>
  <si>
    <t>от 08.07.2022 года №167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</si>
</sst>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4" x14ac:knownFonts="1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Stencil"/>
      <family val="5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166" fontId="2" fillId="0" borderId="0" xfId="0" applyNumberFormat="1" applyFont="1" applyFill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/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6" fontId="4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166" fontId="4" fillId="0" borderId="6" xfId="0" applyNumberFormat="1" applyFont="1" applyFill="1" applyBorder="1" applyAlignment="1">
      <alignment horizontal="center" wrapText="1"/>
    </xf>
    <xf numFmtId="166" fontId="4" fillId="0" borderId="4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/>
    </xf>
    <xf numFmtId="166" fontId="8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2" xfId="0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2" fontId="6" fillId="3" borderId="4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6" fontId="6" fillId="0" borderId="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" fontId="4" fillId="3" borderId="13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0" borderId="16" xfId="0" applyFont="1" applyFill="1" applyBorder="1" applyAlignment="1"/>
    <xf numFmtId="0" fontId="10" fillId="0" borderId="16" xfId="0" applyFont="1" applyBorder="1" applyAlignment="1"/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4" borderId="16" xfId="0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11" fillId="0" borderId="17" xfId="0" applyFont="1" applyBorder="1" applyAlignment="1"/>
    <xf numFmtId="0" fontId="11" fillId="0" borderId="12" xfId="0" applyFont="1" applyFill="1" applyBorder="1" applyAlignment="1">
      <alignment horizontal="center" wrapText="1"/>
    </xf>
    <xf numFmtId="166" fontId="8" fillId="0" borderId="13" xfId="0" applyNumberFormat="1" applyFont="1" applyBorder="1" applyAlignment="1">
      <alignment horizontal="center" wrapText="1"/>
    </xf>
    <xf numFmtId="166" fontId="2" fillId="0" borderId="11" xfId="0" applyNumberFormat="1" applyFont="1" applyFill="1" applyBorder="1" applyAlignment="1">
      <alignment wrapText="1"/>
    </xf>
    <xf numFmtId="166" fontId="1" fillId="0" borderId="12" xfId="0" applyNumberFormat="1" applyFont="1" applyFill="1" applyBorder="1"/>
    <xf numFmtId="166" fontId="0" fillId="0" borderId="12" xfId="0" applyNumberFormat="1" applyBorder="1"/>
    <xf numFmtId="166" fontId="0" fillId="0" borderId="12" xfId="0" applyNumberFormat="1" applyFill="1" applyBorder="1"/>
    <xf numFmtId="166" fontId="12" fillId="0" borderId="12" xfId="0" applyNumberFormat="1" applyFont="1" applyFill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166" fontId="0" fillId="0" borderId="13" xfId="0" applyNumberFormat="1" applyBorder="1"/>
    <xf numFmtId="166" fontId="2" fillId="0" borderId="0" xfId="0" applyNumberFormat="1" applyFont="1"/>
    <xf numFmtId="166" fontId="0" fillId="0" borderId="0" xfId="0" applyNumberFormat="1" applyFill="1"/>
    <xf numFmtId="166" fontId="0" fillId="0" borderId="0" xfId="0" applyNumberFormat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166" fontId="12" fillId="0" borderId="0" xfId="0" applyNumberFormat="1" applyFont="1" applyFill="1"/>
    <xf numFmtId="166" fontId="12" fillId="0" borderId="0" xfId="0" applyNumberFormat="1" applyFont="1"/>
    <xf numFmtId="0" fontId="11" fillId="3" borderId="0" xfId="0" applyFont="1" applyFill="1" applyBorder="1" applyAlignment="1">
      <alignment horizontal="right" wrapText="1"/>
    </xf>
    <xf numFmtId="14" fontId="13" fillId="3" borderId="0" xfId="0" applyNumberFormat="1" applyFont="1" applyFill="1"/>
    <xf numFmtId="0" fontId="13" fillId="0" borderId="0" xfId="0" applyFont="1" applyFill="1"/>
    <xf numFmtId="0" fontId="11" fillId="0" borderId="0" xfId="0" applyFont="1" applyFill="1"/>
    <xf numFmtId="2" fontId="4" fillId="0" borderId="5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166" fontId="6" fillId="0" borderId="4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4"/>
  <sheetViews>
    <sheetView tabSelected="1" workbookViewId="0">
      <selection activeCell="B4" sqref="B4:T4"/>
    </sheetView>
  </sheetViews>
  <sheetFormatPr defaultRowHeight="12.75" x14ac:dyDescent="0.2"/>
  <cols>
    <col min="1" max="1" width="45.140625" customWidth="1"/>
    <col min="2" max="2" width="8.85546875" style="1" customWidth="1"/>
    <col min="3" max="9" width="0" hidden="1" customWidth="1"/>
    <col min="10" max="10" width="0" style="2" hidden="1" customWidth="1"/>
    <col min="11" max="11" width="0" hidden="1" customWidth="1"/>
    <col min="12" max="12" width="0" style="2" hidden="1" customWidth="1"/>
    <col min="13" max="14" width="0" hidden="1" customWidth="1"/>
    <col min="15" max="15" width="13.28515625" style="1" customWidth="1"/>
    <col min="16" max="17" width="0" style="1" hidden="1" customWidth="1"/>
    <col min="18" max="18" width="11.7109375" style="1" customWidth="1"/>
    <col min="19" max="19" width="14.28515625" style="1" customWidth="1"/>
    <col min="20" max="20" width="15.140625" style="1" customWidth="1"/>
    <col min="21" max="21" width="0" style="2" hidden="1" customWidth="1"/>
    <col min="22" max="22" width="0" hidden="1" customWidth="1"/>
    <col min="23" max="23" width="0" style="3" hidden="1" customWidth="1"/>
    <col min="24" max="24" width="0" style="2" hidden="1" customWidth="1"/>
    <col min="25" max="25" width="0" hidden="1" customWidth="1"/>
    <col min="26" max="26" width="3.28515625" customWidth="1"/>
    <col min="27" max="27" width="11" customWidth="1"/>
  </cols>
  <sheetData>
    <row r="1" spans="1:26" x14ac:dyDescent="0.2">
      <c r="A1" s="2"/>
      <c r="B1" s="95" t="s">
        <v>165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4" t="s">
        <v>0</v>
      </c>
      <c r="V1" s="4" t="s">
        <v>0</v>
      </c>
      <c r="W1" s="5"/>
    </row>
    <row r="2" spans="1:26" x14ac:dyDescent="0.2">
      <c r="A2" s="2"/>
      <c r="B2" s="96" t="s">
        <v>163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4" t="s">
        <v>1</v>
      </c>
      <c r="V2" s="4" t="s">
        <v>1</v>
      </c>
      <c r="W2" s="5"/>
    </row>
    <row r="3" spans="1:26" x14ac:dyDescent="0.2">
      <c r="A3" s="2"/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4" t="s">
        <v>3</v>
      </c>
      <c r="V3" s="4" t="s">
        <v>3</v>
      </c>
      <c r="W3" s="5"/>
    </row>
    <row r="4" spans="1:26" ht="15.6" customHeight="1" x14ac:dyDescent="0.2">
      <c r="A4" s="2"/>
      <c r="B4" s="96" t="s">
        <v>169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4" t="s">
        <v>4</v>
      </c>
      <c r="V4" s="4" t="s">
        <v>4</v>
      </c>
      <c r="W4" s="5"/>
    </row>
    <row r="5" spans="1:26" ht="1.9" hidden="1" customHeight="1" x14ac:dyDescent="0.2">
      <c r="A5" s="2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6"/>
      <c r="V5" s="6"/>
      <c r="W5" s="5"/>
    </row>
    <row r="6" spans="1:26" ht="12.75" hidden="1" customHeight="1" x14ac:dyDescent="0.2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6" ht="12.75" hidden="1" customHeight="1" x14ac:dyDescent="0.2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6" ht="52.5" customHeight="1" thickBot="1" x14ac:dyDescent="0.3">
      <c r="A8" s="98" t="s">
        <v>166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6" ht="19.5" hidden="1" customHeight="1" x14ac:dyDescent="0.7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6" ht="15.75" customHeight="1" thickBot="1" x14ac:dyDescent="0.25">
      <c r="A10" s="94" t="s">
        <v>5</v>
      </c>
      <c r="B10" s="88" t="s">
        <v>6</v>
      </c>
      <c r="C10" s="88" t="s">
        <v>7</v>
      </c>
      <c r="D10" s="88"/>
      <c r="E10" s="88"/>
      <c r="F10" s="88" t="s">
        <v>8</v>
      </c>
      <c r="G10" s="88" t="s">
        <v>9</v>
      </c>
      <c r="H10" s="88"/>
      <c r="I10" s="88"/>
      <c r="J10" s="88" t="s">
        <v>10</v>
      </c>
      <c r="K10" s="88" t="s">
        <v>11</v>
      </c>
      <c r="L10" s="88" t="s">
        <v>9</v>
      </c>
      <c r="M10" s="88"/>
      <c r="N10" s="88"/>
      <c r="O10" s="88" t="s">
        <v>12</v>
      </c>
      <c r="P10" s="89" t="s">
        <v>13</v>
      </c>
      <c r="Q10" s="88" t="s">
        <v>14</v>
      </c>
      <c r="R10" s="89" t="s">
        <v>167</v>
      </c>
      <c r="S10" s="99" t="s">
        <v>168</v>
      </c>
      <c r="T10" s="89" t="s">
        <v>164</v>
      </c>
      <c r="U10" s="90" t="s">
        <v>15</v>
      </c>
      <c r="V10" s="91" t="s">
        <v>16</v>
      </c>
      <c r="W10" s="92" t="s">
        <v>17</v>
      </c>
      <c r="X10" s="85" t="s">
        <v>18</v>
      </c>
      <c r="Y10" s="86" t="s">
        <v>19</v>
      </c>
    </row>
    <row r="11" spans="1:26" ht="16.149999999999999" customHeight="1" thickBot="1" x14ac:dyDescent="0.25">
      <c r="A11" s="94"/>
      <c r="B11" s="88"/>
      <c r="C11" s="88"/>
      <c r="D11" s="88"/>
      <c r="E11" s="88"/>
      <c r="F11" s="88"/>
      <c r="G11" s="87" t="s">
        <v>20</v>
      </c>
      <c r="H11" s="87" t="s">
        <v>21</v>
      </c>
      <c r="I11" s="87" t="s">
        <v>22</v>
      </c>
      <c r="J11" s="88"/>
      <c r="K11" s="88"/>
      <c r="L11" s="87" t="s">
        <v>23</v>
      </c>
      <c r="M11" s="87" t="s">
        <v>21</v>
      </c>
      <c r="N11" s="87" t="s">
        <v>22</v>
      </c>
      <c r="O11" s="88"/>
      <c r="P11" s="89"/>
      <c r="Q11" s="88"/>
      <c r="R11" s="89"/>
      <c r="S11" s="100"/>
      <c r="T11" s="89"/>
      <c r="U11" s="90"/>
      <c r="V11" s="91"/>
      <c r="W11" s="92"/>
      <c r="X11" s="85"/>
      <c r="Y11" s="86"/>
    </row>
    <row r="12" spans="1:26" ht="33.6" customHeight="1" x14ac:dyDescent="0.2">
      <c r="A12" s="94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88"/>
      <c r="R12" s="89"/>
      <c r="S12" s="101"/>
      <c r="T12" s="89"/>
      <c r="U12" s="90"/>
      <c r="V12" s="91"/>
      <c r="W12" s="92"/>
      <c r="X12" s="85"/>
      <c r="Y12" s="86"/>
    </row>
    <row r="13" spans="1:26" ht="15.75" customHeight="1" x14ac:dyDescent="0.25">
      <c r="A13" s="9" t="s">
        <v>24</v>
      </c>
      <c r="B13" s="10" t="s">
        <v>25</v>
      </c>
      <c r="C13" s="11">
        <f>SUM(C15:C21)</f>
        <v>75792</v>
      </c>
      <c r="D13" s="11">
        <f>SUM(D15:D21)</f>
        <v>-4889</v>
      </c>
      <c r="E13" s="11">
        <f t="shared" ref="E13:N13" si="0">SUM(E14:E21)</f>
        <v>72440.56</v>
      </c>
      <c r="F13" s="11">
        <f t="shared" si="0"/>
        <v>81988.899999999994</v>
      </c>
      <c r="G13" s="11">
        <f t="shared" si="0"/>
        <v>68971.899999999994</v>
      </c>
      <c r="H13" s="11">
        <f t="shared" si="0"/>
        <v>11022</v>
      </c>
      <c r="I13" s="11">
        <f t="shared" si="0"/>
        <v>1995</v>
      </c>
      <c r="J13" s="12">
        <f t="shared" si="0"/>
        <v>76926.7</v>
      </c>
      <c r="K13" s="11">
        <f t="shared" si="0"/>
        <v>85299.4</v>
      </c>
      <c r="L13" s="11">
        <f t="shared" si="0"/>
        <v>71345</v>
      </c>
      <c r="M13" s="11">
        <f t="shared" si="0"/>
        <v>13874.400000000001</v>
      </c>
      <c r="N13" s="11">
        <f t="shared" si="0"/>
        <v>80</v>
      </c>
      <c r="O13" s="10"/>
      <c r="P13" s="13">
        <v>6490.7</v>
      </c>
      <c r="Q13" s="14" t="s">
        <v>26</v>
      </c>
      <c r="R13" s="15">
        <f>R15+R19+R20+R21</f>
        <v>14128.74</v>
      </c>
      <c r="S13" s="80">
        <f>S15+S19+S20+S21</f>
        <v>2076.0100000000002</v>
      </c>
      <c r="T13" s="17">
        <f>S13/R13*100</f>
        <v>14.693525395753621</v>
      </c>
      <c r="U13" s="16">
        <f>J13/G13*100</f>
        <v>111.53339258451631</v>
      </c>
      <c r="V13" s="17">
        <f>L13/G13*100</f>
        <v>103.4406765653839</v>
      </c>
      <c r="W13" s="18" t="e">
        <f>L13/L90*100</f>
        <v>#REF!</v>
      </c>
      <c r="X13" s="12">
        <f>SUM(X14:X21)</f>
        <v>33597.1</v>
      </c>
      <c r="Y13" s="19">
        <f>L13/X13*100</f>
        <v>212.35463775147258</v>
      </c>
      <c r="Z13" s="20"/>
    </row>
    <row r="14" spans="1:26" ht="0.6" customHeight="1" x14ac:dyDescent="0.25">
      <c r="A14" s="21" t="s">
        <v>27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t="shared" ref="K14:K79" si="1">L14+M14+N14</f>
        <v>833</v>
      </c>
      <c r="L14" s="23">
        <v>833</v>
      </c>
      <c r="M14" s="23"/>
      <c r="N14" s="23"/>
      <c r="O14" s="22" t="s">
        <v>28</v>
      </c>
      <c r="P14" s="25">
        <v>563.70000000000005</v>
      </c>
      <c r="Q14" s="26"/>
      <c r="R14" s="27"/>
      <c r="S14" s="81"/>
      <c r="T14" s="17" t="e">
        <f t="shared" ref="T14:T74" si="2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6" ht="16.899999999999999" customHeight="1" x14ac:dyDescent="0.25">
      <c r="A15" s="28" t="s">
        <v>29</v>
      </c>
      <c r="B15" s="22"/>
      <c r="C15" s="24">
        <v>45198</v>
      </c>
      <c r="D15" s="24">
        <f>-834-3694</f>
        <v>-4528</v>
      </c>
      <c r="E15" s="23">
        <v>39830</v>
      </c>
      <c r="F15" s="23">
        <f t="shared" ref="F15:F74" si="3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30</v>
      </c>
      <c r="P15" s="25">
        <v>5366</v>
      </c>
      <c r="Q15" s="26" t="s">
        <v>31</v>
      </c>
      <c r="R15" s="29">
        <v>13172.35</v>
      </c>
      <c r="S15" s="81">
        <v>1987.66</v>
      </c>
      <c r="T15" s="84">
        <f t="shared" si="2"/>
        <v>15.0896385231185</v>
      </c>
      <c r="U15" s="16">
        <f>J15/G15*100</f>
        <v>102.26531817413466</v>
      </c>
      <c r="V15" s="17">
        <f>L15/G15*100</f>
        <v>99.007510081862321</v>
      </c>
      <c r="W15" s="30"/>
      <c r="X15" s="24">
        <v>26630.9</v>
      </c>
      <c r="Y15" s="19">
        <f>L15/X15*100</f>
        <v>169.35214356255327</v>
      </c>
    </row>
    <row r="16" spans="1:26" ht="12.75" hidden="1" customHeight="1" x14ac:dyDescent="0.25">
      <c r="A16" s="28" t="s">
        <v>32</v>
      </c>
      <c r="B16" s="22"/>
      <c r="C16" s="24"/>
      <c r="D16" s="24"/>
      <c r="E16" s="23">
        <v>186</v>
      </c>
      <c r="F16" s="23">
        <f t="shared" si="3"/>
        <v>186</v>
      </c>
      <c r="G16" s="23"/>
      <c r="H16" s="23">
        <v>186</v>
      </c>
      <c r="I16" s="23"/>
      <c r="J16" s="23"/>
      <c r="K16" s="24">
        <f t="shared" si="1"/>
        <v>361.1</v>
      </c>
      <c r="L16" s="23"/>
      <c r="M16" s="23">
        <v>361.1</v>
      </c>
      <c r="N16" s="23"/>
      <c r="O16" s="22" t="s">
        <v>33</v>
      </c>
      <c r="P16" s="25"/>
      <c r="Q16" s="26"/>
      <c r="R16" s="27"/>
      <c r="S16" s="81"/>
      <c r="T16" s="84" t="e">
        <f t="shared" si="2"/>
        <v>#DIV/0!</v>
      </c>
      <c r="U16" s="16"/>
      <c r="V16" s="17"/>
      <c r="W16" s="30"/>
      <c r="X16" s="24" t="s">
        <v>34</v>
      </c>
      <c r="Y16" s="19"/>
    </row>
    <row r="17" spans="1:25" ht="0.6" customHeight="1" x14ac:dyDescent="0.25">
      <c r="A17" s="28" t="s">
        <v>35</v>
      </c>
      <c r="B17" s="22"/>
      <c r="C17" s="24">
        <v>9219</v>
      </c>
      <c r="D17" s="24">
        <v>-160</v>
      </c>
      <c r="E17" s="23">
        <v>7953</v>
      </c>
      <c r="F17" s="23">
        <f t="shared" si="3"/>
        <v>11596.7</v>
      </c>
      <c r="G17" s="23">
        <v>9353</v>
      </c>
      <c r="H17" s="23">
        <v>2243.6999999999998</v>
      </c>
      <c r="I17" s="23"/>
      <c r="J17" s="23">
        <f>964+1900.4+9889.6</f>
        <v>12754</v>
      </c>
      <c r="K17" s="24">
        <f t="shared" si="1"/>
        <v>11449.6</v>
      </c>
      <c r="L17" s="23">
        <f>1631+8350</f>
        <v>9981</v>
      </c>
      <c r="M17" s="23">
        <v>1468.6</v>
      </c>
      <c r="N17" s="23"/>
      <c r="O17" s="22" t="s">
        <v>36</v>
      </c>
      <c r="P17" s="25"/>
      <c r="Q17" s="26"/>
      <c r="R17" s="27"/>
      <c r="S17" s="81"/>
      <c r="T17" s="84" t="e">
        <f t="shared" si="2"/>
        <v>#DIV/0!</v>
      </c>
      <c r="U17" s="16">
        <f>J17/G17*100</f>
        <v>136.36266438575856</v>
      </c>
      <c r="V17" s="17">
        <f>L17/G17*100</f>
        <v>106.71442317972844</v>
      </c>
      <c r="W17" s="30"/>
      <c r="X17" s="24">
        <v>6499.6</v>
      </c>
      <c r="Y17" s="19">
        <f>L17/X17*100</f>
        <v>153.56329620284325</v>
      </c>
    </row>
    <row r="18" spans="1:25" ht="16.149999999999999" hidden="1" customHeight="1" x14ac:dyDescent="0.25">
      <c r="A18" s="28" t="s">
        <v>37</v>
      </c>
      <c r="B18" s="22"/>
      <c r="C18" s="24"/>
      <c r="D18" s="24"/>
      <c r="E18" s="23"/>
      <c r="F18" s="23">
        <f t="shared" si="3"/>
        <v>1740</v>
      </c>
      <c r="G18" s="23">
        <f>500+1240</f>
        <v>1740</v>
      </c>
      <c r="H18" s="23"/>
      <c r="I18" s="23"/>
      <c r="J18" s="23"/>
      <c r="K18" s="24">
        <f t="shared" si="1"/>
        <v>0</v>
      </c>
      <c r="L18" s="23"/>
      <c r="M18" s="23"/>
      <c r="N18" s="23"/>
      <c r="O18" s="22" t="s">
        <v>38</v>
      </c>
      <c r="P18" s="25"/>
      <c r="Q18" s="26"/>
      <c r="R18" s="27"/>
      <c r="S18" s="81"/>
      <c r="T18" s="84" t="e">
        <f t="shared" si="2"/>
        <v>#DIV/0!</v>
      </c>
      <c r="U18" s="16">
        <f>J18/G18*100</f>
        <v>0</v>
      </c>
      <c r="V18" s="17">
        <f>L18/G18*100</f>
        <v>0</v>
      </c>
      <c r="W18" s="30"/>
      <c r="X18" s="24"/>
      <c r="Y18" s="19"/>
    </row>
    <row r="19" spans="1:25" ht="63.75" customHeight="1" x14ac:dyDescent="0.25">
      <c r="A19" s="28" t="s">
        <v>39</v>
      </c>
      <c r="B19" s="22"/>
      <c r="C19" s="24"/>
      <c r="D19" s="24"/>
      <c r="E19" s="23"/>
      <c r="F19" s="23"/>
      <c r="G19" s="23"/>
      <c r="H19" s="23"/>
      <c r="I19" s="23"/>
      <c r="J19" s="23"/>
      <c r="K19" s="24"/>
      <c r="L19" s="23"/>
      <c r="M19" s="23"/>
      <c r="N19" s="23"/>
      <c r="O19" s="22" t="s">
        <v>36</v>
      </c>
      <c r="P19" s="25"/>
      <c r="Q19" s="26"/>
      <c r="R19" s="31">
        <v>209.39</v>
      </c>
      <c r="S19" s="81">
        <v>52.35</v>
      </c>
      <c r="T19" s="84">
        <f t="shared" si="2"/>
        <v>25.001193944314437</v>
      </c>
      <c r="U19" s="16"/>
      <c r="V19" s="17"/>
      <c r="W19" s="30"/>
      <c r="X19" s="24"/>
      <c r="Y19" s="19"/>
    </row>
    <row r="20" spans="1:25" ht="16.5" customHeight="1" x14ac:dyDescent="0.25">
      <c r="A20" s="28" t="s">
        <v>40</v>
      </c>
      <c r="B20" s="22"/>
      <c r="C20" s="24"/>
      <c r="D20" s="24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2" t="s">
        <v>41</v>
      </c>
      <c r="P20" s="25"/>
      <c r="Q20" s="26"/>
      <c r="R20" s="31">
        <v>50</v>
      </c>
      <c r="S20" s="81">
        <v>0</v>
      </c>
      <c r="T20" s="84">
        <f t="shared" si="2"/>
        <v>0</v>
      </c>
      <c r="U20" s="16"/>
      <c r="V20" s="17"/>
      <c r="W20" s="30"/>
      <c r="X20" s="24"/>
      <c r="Y20" s="19"/>
    </row>
    <row r="21" spans="1:25" ht="16.5" customHeight="1" x14ac:dyDescent="0.25">
      <c r="A21" s="28" t="s">
        <v>42</v>
      </c>
      <c r="B21" s="22"/>
      <c r="C21" s="24">
        <v>21375</v>
      </c>
      <c r="D21" s="24">
        <f>160+834-4889+3694</f>
        <v>-201</v>
      </c>
      <c r="E21" s="23">
        <f>SUM(E22:E32)</f>
        <v>23714.559999999998</v>
      </c>
      <c r="F21" s="23">
        <f>G21+H21+I21</f>
        <v>20327.099999999999</v>
      </c>
      <c r="G21" s="23">
        <f>SUM(G22:G32)</f>
        <v>11569.8</v>
      </c>
      <c r="H21" s="23">
        <f>SUM(H22:H32)</f>
        <v>8592.2999999999993</v>
      </c>
      <c r="I21" s="23">
        <f>SUM(I22:I32)</f>
        <v>165</v>
      </c>
      <c r="J21" s="23">
        <f>SUM(J22:J32)</f>
        <v>16655.7</v>
      </c>
      <c r="K21" s="24">
        <f>L21+M21+N21</f>
        <v>27555.7</v>
      </c>
      <c r="L21" s="23">
        <f>SUM(L22:L32)</f>
        <v>15431</v>
      </c>
      <c r="M21" s="23">
        <f>SUM(M22:M32)</f>
        <v>12044.7</v>
      </c>
      <c r="N21" s="23">
        <f>SUM(N22:N32)</f>
        <v>80</v>
      </c>
      <c r="O21" s="22" t="s">
        <v>43</v>
      </c>
      <c r="P21" s="25">
        <v>511</v>
      </c>
      <c r="Q21" s="26" t="s">
        <v>44</v>
      </c>
      <c r="R21" s="31">
        <v>697</v>
      </c>
      <c r="S21" s="81">
        <v>36</v>
      </c>
      <c r="T21" s="84">
        <f t="shared" si="2"/>
        <v>5.1649928263988523</v>
      </c>
      <c r="U21" s="16"/>
      <c r="V21" s="17"/>
      <c r="W21" s="30"/>
      <c r="X21" s="24"/>
      <c r="Y21" s="19"/>
    </row>
    <row r="22" spans="1:25" ht="19.149999999999999" hidden="1" customHeight="1" x14ac:dyDescent="0.25">
      <c r="A22" s="9" t="s">
        <v>45</v>
      </c>
      <c r="B22" s="10" t="s">
        <v>46</v>
      </c>
      <c r="C22" s="11"/>
      <c r="D22" s="11"/>
      <c r="E22" s="12">
        <v>5369</v>
      </c>
      <c r="F22" s="12">
        <f t="shared" si="3"/>
        <v>3884</v>
      </c>
      <c r="G22" s="12">
        <v>3719</v>
      </c>
      <c r="H22" s="12"/>
      <c r="I22" s="12">
        <v>165</v>
      </c>
      <c r="J22" s="12">
        <v>4643.7</v>
      </c>
      <c r="K22" s="11">
        <f t="shared" si="1"/>
        <v>4158</v>
      </c>
      <c r="L22" s="12">
        <v>4078</v>
      </c>
      <c r="M22" s="12"/>
      <c r="N22" s="12">
        <v>80</v>
      </c>
      <c r="O22" s="10"/>
      <c r="P22" s="13"/>
      <c r="Q22" s="14" t="s">
        <v>47</v>
      </c>
      <c r="R22" s="32"/>
      <c r="S22" s="80"/>
      <c r="T22" s="17" t="e">
        <f t="shared" si="2"/>
        <v>#DIV/0!</v>
      </c>
      <c r="U22" s="16">
        <f>J22/G22*100</f>
        <v>124.86421080935735</v>
      </c>
      <c r="V22" s="17">
        <f>L22/G22*100</f>
        <v>109.6531325625168</v>
      </c>
      <c r="W22" s="30"/>
      <c r="X22" s="24">
        <v>2007.6</v>
      </c>
      <c r="Y22" s="19">
        <f t="shared" ref="Y22:Y34" si="4">L22/X22*100</f>
        <v>203.12811316995419</v>
      </c>
    </row>
    <row r="23" spans="1:25" ht="12.75" hidden="1" customHeight="1" x14ac:dyDescent="0.25">
      <c r="A23" s="28" t="s">
        <v>48</v>
      </c>
      <c r="B23" s="22"/>
      <c r="C23" s="24"/>
      <c r="D23" s="24"/>
      <c r="E23" s="23">
        <v>1500</v>
      </c>
      <c r="F23" s="23">
        <f t="shared" si="3"/>
        <v>1500</v>
      </c>
      <c r="G23" s="23">
        <v>1500</v>
      </c>
      <c r="H23" s="23"/>
      <c r="I23" s="23"/>
      <c r="J23" s="23">
        <v>2060</v>
      </c>
      <c r="K23" s="24">
        <f t="shared" si="1"/>
        <v>1500</v>
      </c>
      <c r="L23" s="23">
        <v>1500</v>
      </c>
      <c r="M23" s="23"/>
      <c r="N23" s="23"/>
      <c r="O23" s="22"/>
      <c r="P23" s="25"/>
      <c r="Q23" s="26"/>
      <c r="R23" s="27"/>
      <c r="S23" s="81"/>
      <c r="T23" s="17" t="e">
        <f t="shared" si="2"/>
        <v>#DIV/0!</v>
      </c>
      <c r="U23" s="16">
        <f>J23/G23*100</f>
        <v>137.33333333333334</v>
      </c>
      <c r="V23" s="17">
        <f>L23/G23*100</f>
        <v>100</v>
      </c>
      <c r="W23" s="30"/>
      <c r="X23" s="24">
        <v>357.4</v>
      </c>
      <c r="Y23" s="19">
        <f t="shared" si="4"/>
        <v>419.69781757134871</v>
      </c>
    </row>
    <row r="24" spans="1:25" ht="13.5" hidden="1" customHeight="1" x14ac:dyDescent="0.25">
      <c r="A24" s="28" t="s">
        <v>49</v>
      </c>
      <c r="B24" s="22"/>
      <c r="C24" s="24"/>
      <c r="D24" s="24"/>
      <c r="E24" s="23">
        <v>176</v>
      </c>
      <c r="F24" s="23">
        <f t="shared" si="3"/>
        <v>176</v>
      </c>
      <c r="G24" s="23">
        <v>100</v>
      </c>
      <c r="H24" s="23">
        <v>76</v>
      </c>
      <c r="I24" s="23"/>
      <c r="J24" s="23"/>
      <c r="K24" s="24">
        <f t="shared" si="1"/>
        <v>83</v>
      </c>
      <c r="L24" s="23"/>
      <c r="M24" s="23">
        <v>83</v>
      </c>
      <c r="N24" s="23"/>
      <c r="O24" s="22"/>
      <c r="P24" s="25"/>
      <c r="Q24" s="26"/>
      <c r="R24" s="27"/>
      <c r="S24" s="81"/>
      <c r="T24" s="17" t="e">
        <f t="shared" si="2"/>
        <v>#DIV/0!</v>
      </c>
      <c r="U24" s="16">
        <f>J24/G24*100</f>
        <v>0</v>
      </c>
      <c r="V24" s="17">
        <f>L24/G24*100</f>
        <v>0</v>
      </c>
      <c r="W24" s="30"/>
      <c r="X24" s="24">
        <v>69</v>
      </c>
      <c r="Y24" s="19">
        <f t="shared" si="4"/>
        <v>0</v>
      </c>
    </row>
    <row r="25" spans="1:25" ht="12.75" hidden="1" customHeight="1" x14ac:dyDescent="0.25">
      <c r="A25" s="28" t="s">
        <v>50</v>
      </c>
      <c r="B25" s="22"/>
      <c r="C25" s="24"/>
      <c r="D25" s="24"/>
      <c r="E25" s="24">
        <v>2024.76</v>
      </c>
      <c r="F25" s="23">
        <f t="shared" si="3"/>
        <v>2034.8</v>
      </c>
      <c r="G25" s="24"/>
      <c r="H25" s="24">
        <v>2034.8</v>
      </c>
      <c r="I25" s="24"/>
      <c r="J25" s="24"/>
      <c r="K25" s="24">
        <f t="shared" si="1"/>
        <v>5309.7</v>
      </c>
      <c r="L25" s="24"/>
      <c r="M25" s="24">
        <f>390.9+1599.8+389+10+2920</f>
        <v>5309.7</v>
      </c>
      <c r="N25" s="24"/>
      <c r="O25" s="22"/>
      <c r="P25" s="25"/>
      <c r="Q25" s="26"/>
      <c r="R25" s="27"/>
      <c r="S25" s="81"/>
      <c r="T25" s="17" t="e">
        <f t="shared" si="2"/>
        <v>#DIV/0!</v>
      </c>
      <c r="U25" s="16"/>
      <c r="V25" s="17"/>
      <c r="W25" s="30"/>
      <c r="X25" s="24">
        <v>976.5</v>
      </c>
      <c r="Y25" s="19">
        <f t="shared" si="4"/>
        <v>0</v>
      </c>
    </row>
    <row r="26" spans="1:25" ht="12.75" hidden="1" customHeight="1" x14ac:dyDescent="0.25">
      <c r="A26" s="28" t="s">
        <v>51</v>
      </c>
      <c r="B26" s="22"/>
      <c r="C26" s="24"/>
      <c r="D26" s="24"/>
      <c r="E26" s="24">
        <v>1871.8</v>
      </c>
      <c r="F26" s="23">
        <f t="shared" si="3"/>
        <v>0</v>
      </c>
      <c r="G26" s="24"/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81"/>
      <c r="T26" s="17" t="e">
        <f t="shared" si="2"/>
        <v>#DIV/0!</v>
      </c>
      <c r="U26" s="16"/>
      <c r="V26" s="17"/>
      <c r="W26" s="30"/>
      <c r="X26" s="24">
        <v>311.39999999999998</v>
      </c>
      <c r="Y26" s="19">
        <f t="shared" si="4"/>
        <v>0</v>
      </c>
    </row>
    <row r="27" spans="1:25" ht="12.75" hidden="1" customHeight="1" x14ac:dyDescent="0.25">
      <c r="A27" s="28" t="s">
        <v>52</v>
      </c>
      <c r="B27" s="22"/>
      <c r="C27" s="24"/>
      <c r="D27" s="24"/>
      <c r="E27" s="24">
        <v>6218</v>
      </c>
      <c r="F27" s="23">
        <f t="shared" si="3"/>
        <v>6481.5</v>
      </c>
      <c r="G27" s="24"/>
      <c r="H27" s="24">
        <v>6481.5</v>
      </c>
      <c r="I27" s="24"/>
      <c r="J27" s="24"/>
      <c r="K27" s="24">
        <f t="shared" si="1"/>
        <v>6652</v>
      </c>
      <c r="L27" s="24"/>
      <c r="M27" s="24">
        <v>6652</v>
      </c>
      <c r="N27" s="24"/>
      <c r="O27" s="22"/>
      <c r="P27" s="25"/>
      <c r="Q27" s="26"/>
      <c r="R27" s="27"/>
      <c r="S27" s="81"/>
      <c r="T27" s="17" t="e">
        <f t="shared" si="2"/>
        <v>#DIV/0!</v>
      </c>
      <c r="U27" s="16"/>
      <c r="V27" s="17"/>
      <c r="W27" s="30"/>
      <c r="X27" s="24">
        <v>2079.9</v>
      </c>
      <c r="Y27" s="19">
        <f t="shared" si="4"/>
        <v>0</v>
      </c>
    </row>
    <row r="28" spans="1:25" ht="1.1499999999999999" hidden="1" customHeight="1" x14ac:dyDescent="0.25">
      <c r="A28" s="28" t="s">
        <v>53</v>
      </c>
      <c r="B28" s="22"/>
      <c r="C28" s="24"/>
      <c r="D28" s="24"/>
      <c r="E28" s="24">
        <v>1555</v>
      </c>
      <c r="F28" s="23">
        <f t="shared" si="3"/>
        <v>1250.8</v>
      </c>
      <c r="G28" s="24">
        <v>1250.8</v>
      </c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27"/>
      <c r="S28" s="81"/>
      <c r="T28" s="17" t="e">
        <f t="shared" si="2"/>
        <v>#DIV/0!</v>
      </c>
      <c r="U28" s="16">
        <f>J28/G28*100</f>
        <v>0</v>
      </c>
      <c r="V28" s="17">
        <f>L28/G28*100</f>
        <v>0</v>
      </c>
      <c r="W28" s="30"/>
      <c r="X28" s="24">
        <v>3897.1</v>
      </c>
      <c r="Y28" s="19">
        <f t="shared" si="4"/>
        <v>0</v>
      </c>
    </row>
    <row r="29" spans="1:25" ht="1.1499999999999999" customHeight="1" x14ac:dyDescent="0.25">
      <c r="A29" s="28"/>
      <c r="B29" s="22"/>
      <c r="C29" s="24"/>
      <c r="D29" s="24"/>
      <c r="E29" s="24"/>
      <c r="F29" s="23"/>
      <c r="G29" s="24"/>
      <c r="H29" s="24"/>
      <c r="I29" s="24"/>
      <c r="J29" s="24"/>
      <c r="K29" s="24"/>
      <c r="L29" s="24"/>
      <c r="M29" s="24"/>
      <c r="N29" s="24"/>
      <c r="O29" s="22"/>
      <c r="P29" s="25"/>
      <c r="Q29" s="26"/>
      <c r="R29" s="27"/>
      <c r="S29" s="81"/>
      <c r="T29" s="17" t="e">
        <f t="shared" si="2"/>
        <v>#DIV/0!</v>
      </c>
      <c r="U29" s="16"/>
      <c r="V29" s="17"/>
      <c r="W29" s="30"/>
      <c r="X29" s="24"/>
      <c r="Y29" s="19"/>
    </row>
    <row r="30" spans="1:25" ht="27.4" customHeight="1" x14ac:dyDescent="0.25">
      <c r="A30" s="9" t="s">
        <v>45</v>
      </c>
      <c r="B30" s="10" t="s">
        <v>46</v>
      </c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15">
        <v>289.60000000000002</v>
      </c>
      <c r="S30" s="81">
        <v>51.96</v>
      </c>
      <c r="T30" s="17">
        <f t="shared" si="2"/>
        <v>17.94198895027624</v>
      </c>
      <c r="U30" s="16"/>
      <c r="V30" s="17"/>
      <c r="W30" s="30"/>
      <c r="X30" s="24">
        <v>2166.8000000000002</v>
      </c>
      <c r="Y30" s="19">
        <f t="shared" si="4"/>
        <v>0</v>
      </c>
    </row>
    <row r="31" spans="1:25" ht="31.5" x14ac:dyDescent="0.25">
      <c r="A31" s="28" t="s">
        <v>54</v>
      </c>
      <c r="B31" s="22"/>
      <c r="C31" s="24"/>
      <c r="D31" s="24"/>
      <c r="E31" s="24">
        <v>5000</v>
      </c>
      <c r="F31" s="23">
        <f t="shared" si="3"/>
        <v>5000</v>
      </c>
      <c r="G31" s="24">
        <v>5000</v>
      </c>
      <c r="H31" s="24"/>
      <c r="I31" s="24"/>
      <c r="J31" s="24">
        <v>9952</v>
      </c>
      <c r="K31" s="24">
        <f t="shared" si="1"/>
        <v>9853</v>
      </c>
      <c r="L31" s="24">
        <v>9853</v>
      </c>
      <c r="M31" s="24"/>
      <c r="N31" s="24"/>
      <c r="O31" s="22" t="s">
        <v>55</v>
      </c>
      <c r="P31" s="25"/>
      <c r="Q31" s="26" t="s">
        <v>47</v>
      </c>
      <c r="R31" s="31">
        <v>289.60000000000002</v>
      </c>
      <c r="S31" s="81">
        <v>51.96</v>
      </c>
      <c r="T31" s="84">
        <f t="shared" si="2"/>
        <v>17.94198895027624</v>
      </c>
      <c r="U31" s="16">
        <f t="shared" ref="U31:U36" si="5">J31/G31*100</f>
        <v>199.04</v>
      </c>
      <c r="V31" s="17">
        <f t="shared" ref="V31:V36" si="6">L31/G31*100</f>
        <v>197.06</v>
      </c>
      <c r="W31" s="30"/>
      <c r="X31" s="24">
        <v>706.7</v>
      </c>
      <c r="Y31" s="19">
        <f t="shared" si="4"/>
        <v>1394.2266874204047</v>
      </c>
    </row>
    <row r="32" spans="1:25" ht="33.4" hidden="1" customHeight="1" x14ac:dyDescent="0.25">
      <c r="A32" s="28" t="s">
        <v>56</v>
      </c>
      <c r="B32" s="22"/>
      <c r="C32" s="24"/>
      <c r="D32" s="24"/>
      <c r="E32" s="24"/>
      <c r="F32" s="23">
        <f t="shared" si="3"/>
        <v>0</v>
      </c>
      <c r="G32" s="24"/>
      <c r="H32" s="24"/>
      <c r="I32" s="24"/>
      <c r="J32" s="24"/>
      <c r="K32" s="24">
        <f t="shared" si="1"/>
        <v>0</v>
      </c>
      <c r="L32" s="24"/>
      <c r="M32" s="24"/>
      <c r="N32" s="24"/>
      <c r="O32" s="22"/>
      <c r="P32" s="25"/>
      <c r="Q32" s="26"/>
      <c r="R32" s="31"/>
      <c r="S32" s="81"/>
      <c r="T32" s="17" t="e">
        <f t="shared" si="2"/>
        <v>#DIV/0!</v>
      </c>
      <c r="U32" s="16" t="e">
        <f t="shared" si="5"/>
        <v>#DIV/0!</v>
      </c>
      <c r="V32" s="17" t="e">
        <f t="shared" si="6"/>
        <v>#DIV/0!</v>
      </c>
      <c r="W32" s="30"/>
      <c r="X32" s="24"/>
      <c r="Y32" s="19" t="e">
        <f t="shared" si="4"/>
        <v>#DIV/0!</v>
      </c>
    </row>
    <row r="33" spans="1:25" ht="28.5" hidden="1" customHeight="1" x14ac:dyDescent="0.25">
      <c r="A33" s="28" t="s">
        <v>57</v>
      </c>
      <c r="B33" s="22"/>
      <c r="C33" s="24"/>
      <c r="D33" s="24"/>
      <c r="E33" s="24"/>
      <c r="F33" s="23">
        <f t="shared" si="3"/>
        <v>0</v>
      </c>
      <c r="G33" s="24"/>
      <c r="H33" s="24"/>
      <c r="I33" s="24"/>
      <c r="J33" s="24"/>
      <c r="K33" s="24">
        <f t="shared" si="1"/>
        <v>0</v>
      </c>
      <c r="L33" s="24"/>
      <c r="M33" s="24"/>
      <c r="N33" s="24"/>
      <c r="O33" s="22"/>
      <c r="P33" s="25"/>
      <c r="Q33" s="26"/>
      <c r="R33" s="31"/>
      <c r="S33" s="81"/>
      <c r="T33" s="17" t="e">
        <f t="shared" si="2"/>
        <v>#DIV/0!</v>
      </c>
      <c r="U33" s="16" t="e">
        <f t="shared" si="5"/>
        <v>#DIV/0!</v>
      </c>
      <c r="V33" s="17" t="e">
        <f t="shared" si="6"/>
        <v>#DIV/0!</v>
      </c>
      <c r="W33" s="30"/>
      <c r="X33" s="24"/>
      <c r="Y33" s="19" t="e">
        <f t="shared" si="4"/>
        <v>#DIV/0!</v>
      </c>
    </row>
    <row r="34" spans="1:25" ht="32.450000000000003" customHeight="1" x14ac:dyDescent="0.25">
      <c r="A34" s="9" t="s">
        <v>58</v>
      </c>
      <c r="B34" s="10" t="s">
        <v>59</v>
      </c>
      <c r="C34" s="11">
        <f>SUM(C35:C36)</f>
        <v>0</v>
      </c>
      <c r="D34" s="11">
        <f>SUM(D35:D36)</f>
        <v>0</v>
      </c>
      <c r="E34" s="11">
        <f>SUM(E35:E36)</f>
        <v>0</v>
      </c>
      <c r="F34" s="11" t="e">
        <f>SUM(#REF!)</f>
        <v>#REF!</v>
      </c>
      <c r="G34" s="11" t="e">
        <f>SUM(#REF!)</f>
        <v>#REF!</v>
      </c>
      <c r="H34" s="11" t="e">
        <f>SUM(#REF!)</f>
        <v>#REF!</v>
      </c>
      <c r="I34" s="11" t="e">
        <f>SUM(#REF!)</f>
        <v>#REF!</v>
      </c>
      <c r="J34" s="11">
        <f>SUM(J35:J36)</f>
        <v>0</v>
      </c>
      <c r="K34" s="11">
        <f>SUM(K35:K36)</f>
        <v>0</v>
      </c>
      <c r="L34" s="11">
        <f>SUM(L35:L36)</f>
        <v>0</v>
      </c>
      <c r="M34" s="11">
        <f>SUM(M35:M36)</f>
        <v>0</v>
      </c>
      <c r="N34" s="11">
        <f>SUM(N35:N36)</f>
        <v>0</v>
      </c>
      <c r="O34" s="10"/>
      <c r="P34" s="13">
        <v>100</v>
      </c>
      <c r="Q34" s="14"/>
      <c r="R34" s="15">
        <f>+R37</f>
        <v>225</v>
      </c>
      <c r="S34" s="80">
        <v>0</v>
      </c>
      <c r="T34" s="17">
        <f t="shared" si="2"/>
        <v>0</v>
      </c>
      <c r="U34" s="16" t="e">
        <f t="shared" si="5"/>
        <v>#REF!</v>
      </c>
      <c r="V34" s="17" t="e">
        <f t="shared" si="6"/>
        <v>#REF!</v>
      </c>
      <c r="W34" s="18" t="e">
        <f>L34/L90*100</f>
        <v>#REF!</v>
      </c>
      <c r="X34" s="11">
        <f>SUM(X35:X36)</f>
        <v>0</v>
      </c>
      <c r="Y34" s="19" t="e">
        <f t="shared" si="4"/>
        <v>#DIV/0!</v>
      </c>
    </row>
    <row r="35" spans="1:25" ht="15" hidden="1" customHeight="1" x14ac:dyDescent="0.25">
      <c r="A35" s="28" t="s">
        <v>60</v>
      </c>
      <c r="B35" s="22" t="s">
        <v>61</v>
      </c>
      <c r="C35" s="24"/>
      <c r="D35" s="24"/>
      <c r="E35" s="24"/>
      <c r="F35" s="23">
        <f t="shared" si="3"/>
        <v>37.5</v>
      </c>
      <c r="G35" s="24">
        <v>12.5</v>
      </c>
      <c r="H35" s="24">
        <v>12.5</v>
      </c>
      <c r="I35" s="24">
        <v>12.5</v>
      </c>
      <c r="J35" s="24"/>
      <c r="K35" s="24">
        <f t="shared" si="1"/>
        <v>0</v>
      </c>
      <c r="L35" s="24"/>
      <c r="M35" s="24"/>
      <c r="N35" s="24"/>
      <c r="O35" s="22" t="s">
        <v>61</v>
      </c>
      <c r="P35" s="25"/>
      <c r="Q35" s="26"/>
      <c r="R35" s="31"/>
      <c r="S35" s="81">
        <v>0</v>
      </c>
      <c r="T35" s="84" t="e">
        <f t="shared" si="2"/>
        <v>#DIV/0!</v>
      </c>
      <c r="U35" s="16">
        <f t="shared" si="5"/>
        <v>0</v>
      </c>
      <c r="V35" s="17">
        <f t="shared" si="6"/>
        <v>0</v>
      </c>
      <c r="W35" s="30"/>
      <c r="X35" s="24"/>
      <c r="Y35" s="19" t="e">
        <f>L35/X35*100</f>
        <v>#DIV/0!</v>
      </c>
    </row>
    <row r="36" spans="1:25" ht="23.45" hidden="1" customHeight="1" x14ac:dyDescent="0.25">
      <c r="A36" s="28" t="s">
        <v>62</v>
      </c>
      <c r="B36" s="22" t="s">
        <v>63</v>
      </c>
      <c r="C36" s="24">
        <v>0</v>
      </c>
      <c r="D36" s="24"/>
      <c r="E36" s="24">
        <v>0</v>
      </c>
      <c r="F36" s="23">
        <f t="shared" si="3"/>
        <v>1500</v>
      </c>
      <c r="G36" s="24">
        <v>500</v>
      </c>
      <c r="H36" s="24">
        <v>500</v>
      </c>
      <c r="I36" s="24">
        <v>500</v>
      </c>
      <c r="J36" s="24"/>
      <c r="K36" s="24">
        <f t="shared" si="1"/>
        <v>0</v>
      </c>
      <c r="L36" s="24"/>
      <c r="M36" s="24"/>
      <c r="N36" s="24"/>
      <c r="O36" s="22" t="s">
        <v>63</v>
      </c>
      <c r="P36" s="25"/>
      <c r="Q36" s="26"/>
      <c r="R36" s="31"/>
      <c r="S36" s="81">
        <v>0</v>
      </c>
      <c r="T36" s="84" t="e">
        <f t="shared" si="2"/>
        <v>#DIV/0!</v>
      </c>
      <c r="U36" s="16">
        <f t="shared" si="5"/>
        <v>0</v>
      </c>
      <c r="V36" s="17">
        <f t="shared" si="6"/>
        <v>0</v>
      </c>
      <c r="W36" s="30"/>
      <c r="X36" s="24"/>
      <c r="Y36" s="19" t="e">
        <f>L36/X36*100</f>
        <v>#DIV/0!</v>
      </c>
    </row>
    <row r="37" spans="1:25" ht="36" customHeight="1" x14ac:dyDescent="0.25">
      <c r="A37" s="28" t="s">
        <v>64</v>
      </c>
      <c r="B37" s="22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4"/>
      <c r="O37" s="22" t="s">
        <v>65</v>
      </c>
      <c r="P37" s="25"/>
      <c r="Q37" s="26"/>
      <c r="R37" s="31">
        <v>225</v>
      </c>
      <c r="S37" s="81">
        <v>0</v>
      </c>
      <c r="T37" s="84">
        <f t="shared" si="2"/>
        <v>0</v>
      </c>
      <c r="U37" s="16"/>
      <c r="V37" s="17"/>
      <c r="W37" s="30"/>
      <c r="X37" s="24"/>
      <c r="Y37" s="19"/>
    </row>
    <row r="38" spans="1:25" ht="19.899999999999999" customHeight="1" x14ac:dyDescent="0.25">
      <c r="A38" s="9" t="s">
        <v>66</v>
      </c>
      <c r="B38" s="10" t="s">
        <v>67</v>
      </c>
      <c r="C38" s="11">
        <f>SUM(C39:C46)</f>
        <v>7159</v>
      </c>
      <c r="D38" s="11">
        <f>SUM(D39:D46)</f>
        <v>0</v>
      </c>
      <c r="E38" s="11" t="e">
        <f>#REF!+#REF!+E41+E42+E44+E46</f>
        <v>#REF!</v>
      </c>
      <c r="F38" s="11" t="e">
        <f>#REF!+#REF!+F41+F42+F44+F46</f>
        <v>#REF!</v>
      </c>
      <c r="G38" s="11" t="e">
        <f>#REF!+#REF!+G41+G42+G44+G46</f>
        <v>#REF!</v>
      </c>
      <c r="H38" s="11" t="e">
        <f>#REF!+#REF!+H41+H42+H44+H46</f>
        <v>#REF!</v>
      </c>
      <c r="I38" s="11" t="e">
        <f>#REF!+#REF!+I41+I42+I44+I46</f>
        <v>#REF!</v>
      </c>
      <c r="J38" s="11" t="e">
        <f>#REF!+#REF!+J41+J42+J44+J46+J43</f>
        <v>#REF!</v>
      </c>
      <c r="K38" s="11" t="e">
        <f>#REF!+#REF!+K41+K42+K44+K46+K43</f>
        <v>#REF!</v>
      </c>
      <c r="L38" s="11" t="e">
        <f>#REF!+#REF!+L41+L42+L44+L46+L43</f>
        <v>#REF!</v>
      </c>
      <c r="M38" s="11" t="e">
        <f>#REF!+#REF!+M41+M42+M44+M46+M43</f>
        <v>#REF!</v>
      </c>
      <c r="N38" s="11" t="e">
        <f>#REF!+#REF!+N41+N42+N44+N46+N43</f>
        <v>#REF!</v>
      </c>
      <c r="O38" s="10"/>
      <c r="P38" s="13">
        <v>721</v>
      </c>
      <c r="Q38" s="14" t="s">
        <v>68</v>
      </c>
      <c r="R38" s="15">
        <f>R39+R46</f>
        <v>4909.3999999999996</v>
      </c>
      <c r="S38" s="80">
        <f>S39+S46</f>
        <v>254.7</v>
      </c>
      <c r="T38" s="17">
        <f t="shared" si="2"/>
        <v>5.1880066810608225</v>
      </c>
      <c r="U38" s="16" t="e">
        <f>J38/G38*100</f>
        <v>#REF!</v>
      </c>
      <c r="V38" s="17" t="e">
        <f>L38/G38*100</f>
        <v>#REF!</v>
      </c>
      <c r="W38" s="18" t="e">
        <f>L38/L90*100</f>
        <v>#REF!</v>
      </c>
      <c r="X38" s="11" t="e">
        <f>#REF!+#REF!+X41+X42+X44+X46</f>
        <v>#REF!</v>
      </c>
      <c r="Y38" s="19" t="e">
        <f>L38/X38*100</f>
        <v>#REF!</v>
      </c>
    </row>
    <row r="39" spans="1:25" ht="16.899999999999999" customHeight="1" x14ac:dyDescent="0.25">
      <c r="A39" s="28" t="s">
        <v>69</v>
      </c>
      <c r="B39" s="22"/>
      <c r="C39" s="24"/>
      <c r="D39" s="24"/>
      <c r="E39" s="24"/>
      <c r="F39" s="23"/>
      <c r="G39" s="24"/>
      <c r="H39" s="24"/>
      <c r="I39" s="24"/>
      <c r="J39" s="24"/>
      <c r="K39" s="24"/>
      <c r="L39" s="24"/>
      <c r="M39" s="24"/>
      <c r="N39" s="24"/>
      <c r="O39" s="22" t="s">
        <v>70</v>
      </c>
      <c r="P39" s="25"/>
      <c r="Q39" s="26"/>
      <c r="R39" s="31">
        <v>4899.3999999999996</v>
      </c>
      <c r="S39" s="81">
        <v>253.2</v>
      </c>
      <c r="T39" s="17">
        <f t="shared" si="2"/>
        <v>5.1679797526227702</v>
      </c>
      <c r="U39" s="16"/>
      <c r="V39" s="17"/>
      <c r="W39" s="30"/>
      <c r="X39" s="24"/>
      <c r="Y39" s="19"/>
    </row>
    <row r="40" spans="1:25" ht="0.75" hidden="1" customHeight="1" x14ac:dyDescent="0.25">
      <c r="A40" s="28" t="s">
        <v>71</v>
      </c>
      <c r="B40" s="22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2" t="s">
        <v>72</v>
      </c>
      <c r="P40" s="25"/>
      <c r="Q40" s="26"/>
      <c r="R40" s="31"/>
      <c r="S40" s="81"/>
      <c r="T40" s="17" t="e">
        <f t="shared" si="2"/>
        <v>#DIV/0!</v>
      </c>
      <c r="U40" s="16"/>
      <c r="V40" s="17"/>
      <c r="W40" s="30"/>
      <c r="X40" s="24"/>
      <c r="Y40" s="19"/>
    </row>
    <row r="41" spans="1:25" ht="0.6" customHeight="1" x14ac:dyDescent="0.25">
      <c r="A41" s="28" t="s">
        <v>73</v>
      </c>
      <c r="B41" s="22"/>
      <c r="C41" s="24">
        <v>3759</v>
      </c>
      <c r="D41" s="24"/>
      <c r="E41" s="24">
        <v>5260</v>
      </c>
      <c r="F41" s="23">
        <f t="shared" si="3"/>
        <v>6321.5</v>
      </c>
      <c r="G41" s="24">
        <f>5375.5+946</f>
        <v>6321.5</v>
      </c>
      <c r="H41" s="24"/>
      <c r="I41" s="24"/>
      <c r="J41" s="24">
        <v>8120.4</v>
      </c>
      <c r="K41" s="24">
        <f t="shared" si="1"/>
        <v>6952</v>
      </c>
      <c r="L41" s="24">
        <v>6952</v>
      </c>
      <c r="M41" s="24"/>
      <c r="N41" s="24"/>
      <c r="O41" s="22" t="s">
        <v>74</v>
      </c>
      <c r="P41" s="25">
        <v>500</v>
      </c>
      <c r="Q41" s="26"/>
      <c r="R41" s="31"/>
      <c r="S41" s="81"/>
      <c r="T41" s="17" t="e">
        <f t="shared" si="2"/>
        <v>#DIV/0!</v>
      </c>
      <c r="U41" s="16">
        <f>J41/G41*100</f>
        <v>128.45685359487462</v>
      </c>
      <c r="V41" s="17">
        <f>L41/G41*100</f>
        <v>109.97389860001583</v>
      </c>
      <c r="W41" s="30"/>
      <c r="X41" s="24">
        <v>2405.8000000000002</v>
      </c>
      <c r="Y41" s="19">
        <f>L41/X41*100</f>
        <v>288.96832654418489</v>
      </c>
    </row>
    <row r="42" spans="1:25" ht="12" hidden="1" customHeight="1" x14ac:dyDescent="0.25">
      <c r="A42" s="28" t="s">
        <v>75</v>
      </c>
      <c r="B42" s="22"/>
      <c r="C42" s="24"/>
      <c r="D42" s="24"/>
      <c r="E42" s="24"/>
      <c r="F42" s="23">
        <f t="shared" si="3"/>
        <v>22162.7</v>
      </c>
      <c r="G42" s="24"/>
      <c r="H42" s="24">
        <f>17564.9+4597.8</f>
        <v>22162.7</v>
      </c>
      <c r="I42" s="24"/>
      <c r="J42" s="24"/>
      <c r="K42" s="24">
        <f t="shared" si="1"/>
        <v>0</v>
      </c>
      <c r="L42" s="24"/>
      <c r="M42" s="24"/>
      <c r="N42" s="24"/>
      <c r="O42" s="22" t="s">
        <v>74</v>
      </c>
      <c r="P42" s="25"/>
      <c r="Q42" s="26"/>
      <c r="R42" s="31"/>
      <c r="S42" s="81"/>
      <c r="T42" s="17" t="e">
        <f t="shared" si="2"/>
        <v>#DIV/0!</v>
      </c>
      <c r="U42" s="16"/>
      <c r="V42" s="17"/>
      <c r="W42" s="30"/>
      <c r="X42" s="24">
        <v>13108.7</v>
      </c>
      <c r="Y42" s="19">
        <f>L42/X42*100</f>
        <v>0</v>
      </c>
    </row>
    <row r="43" spans="1:25" ht="12.75" hidden="1" customHeight="1" x14ac:dyDescent="0.25">
      <c r="A43" s="28" t="s">
        <v>76</v>
      </c>
      <c r="B43" s="22"/>
      <c r="C43" s="24"/>
      <c r="D43" s="24"/>
      <c r="E43" s="24"/>
      <c r="F43" s="23">
        <f t="shared" si="3"/>
        <v>946</v>
      </c>
      <c r="G43" s="24">
        <v>946</v>
      </c>
      <c r="H43" s="24"/>
      <c r="I43" s="24"/>
      <c r="J43" s="24">
        <v>1818</v>
      </c>
      <c r="K43" s="24">
        <f t="shared" si="1"/>
        <v>1818</v>
      </c>
      <c r="L43" s="24">
        <v>1818</v>
      </c>
      <c r="M43" s="24"/>
      <c r="N43" s="24"/>
      <c r="O43" s="22"/>
      <c r="P43" s="25"/>
      <c r="Q43" s="26"/>
      <c r="R43" s="31"/>
      <c r="S43" s="81"/>
      <c r="T43" s="17" t="e">
        <f t="shared" si="2"/>
        <v>#DIV/0!</v>
      </c>
      <c r="U43" s="16">
        <f t="shared" ref="U43:U51" si="7">J43/G43*100</f>
        <v>192.17758985200845</v>
      </c>
      <c r="V43" s="17">
        <f t="shared" ref="V43:V51" si="8">L43/G43*100</f>
        <v>192.17758985200845</v>
      </c>
      <c r="W43" s="30"/>
      <c r="X43" s="24"/>
      <c r="Y43" s="19"/>
    </row>
    <row r="44" spans="1:25" ht="16.149999999999999" hidden="1" customHeight="1" x14ac:dyDescent="0.25">
      <c r="A44" s="33" t="s">
        <v>77</v>
      </c>
      <c r="B44" s="22"/>
      <c r="C44" s="24">
        <v>1500</v>
      </c>
      <c r="D44" s="24"/>
      <c r="E44" s="24">
        <v>1000</v>
      </c>
      <c r="F44" s="23">
        <f t="shared" si="3"/>
        <v>1000</v>
      </c>
      <c r="G44" s="24">
        <v>1000</v>
      </c>
      <c r="H44" s="24"/>
      <c r="I44" s="24"/>
      <c r="J44" s="24">
        <v>3518.5</v>
      </c>
      <c r="K44" s="24">
        <f t="shared" si="1"/>
        <v>1846</v>
      </c>
      <c r="L44" s="24">
        <v>1846</v>
      </c>
      <c r="M44" s="24"/>
      <c r="N44" s="24"/>
      <c r="O44" s="22" t="s">
        <v>78</v>
      </c>
      <c r="P44" s="25"/>
      <c r="Q44" s="26"/>
      <c r="R44" s="31"/>
      <c r="S44" s="81"/>
      <c r="T44" s="17" t="e">
        <f t="shared" si="2"/>
        <v>#DIV/0!</v>
      </c>
      <c r="U44" s="16">
        <f t="shared" si="7"/>
        <v>351.85</v>
      </c>
      <c r="V44" s="17">
        <f t="shared" si="8"/>
        <v>184.60000000000002</v>
      </c>
      <c r="W44" s="30"/>
      <c r="X44" s="24">
        <v>590.20000000000005</v>
      </c>
      <c r="Y44" s="19">
        <f>L44/X44*100</f>
        <v>312.77533039647574</v>
      </c>
    </row>
    <row r="45" spans="1:25" ht="16.899999999999999" hidden="1" customHeight="1" x14ac:dyDescent="0.25">
      <c r="A45" s="28" t="s">
        <v>79</v>
      </c>
      <c r="B45" s="22"/>
      <c r="C45" s="24"/>
      <c r="D45" s="24"/>
      <c r="E45" s="24">
        <v>1000</v>
      </c>
      <c r="F45" s="23">
        <f t="shared" si="3"/>
        <v>3000</v>
      </c>
      <c r="G45" s="24">
        <v>1000</v>
      </c>
      <c r="H45" s="24">
        <v>1000</v>
      </c>
      <c r="I45" s="24">
        <v>1000</v>
      </c>
      <c r="J45" s="24">
        <v>250</v>
      </c>
      <c r="K45" s="24">
        <f t="shared" si="1"/>
        <v>750</v>
      </c>
      <c r="L45" s="24">
        <v>250</v>
      </c>
      <c r="M45" s="24">
        <v>250</v>
      </c>
      <c r="N45" s="24">
        <v>250</v>
      </c>
      <c r="O45" s="22" t="s">
        <v>70</v>
      </c>
      <c r="P45" s="25">
        <f>J45+K45+L45</f>
        <v>1250</v>
      </c>
      <c r="Q45" s="26"/>
      <c r="R45" s="31"/>
      <c r="S45" s="81"/>
      <c r="T45" s="17" t="e">
        <f t="shared" si="2"/>
        <v>#DIV/0!</v>
      </c>
      <c r="U45" s="16">
        <f t="shared" si="7"/>
        <v>25</v>
      </c>
      <c r="V45" s="17">
        <f t="shared" si="8"/>
        <v>25</v>
      </c>
      <c r="W45" s="30"/>
      <c r="X45" s="24">
        <v>155.6</v>
      </c>
      <c r="Y45" s="19">
        <f>L45/X45*100</f>
        <v>160.66838046272494</v>
      </c>
    </row>
    <row r="46" spans="1:25" ht="31.5" customHeight="1" x14ac:dyDescent="0.25">
      <c r="A46" s="28" t="s">
        <v>80</v>
      </c>
      <c r="B46" s="22"/>
      <c r="C46" s="24">
        <v>1900</v>
      </c>
      <c r="D46" s="24"/>
      <c r="E46" s="24">
        <f>SUM(E47:E48)</f>
        <v>3900</v>
      </c>
      <c r="F46" s="23">
        <f t="shared" si="3"/>
        <v>7900</v>
      </c>
      <c r="G46" s="24">
        <f>SUM(G47:G48)</f>
        <v>7900</v>
      </c>
      <c r="H46" s="24">
        <f>SUM(H47:H48)</f>
        <v>0</v>
      </c>
      <c r="I46" s="24">
        <f>SUM(I47:I48)</f>
        <v>0</v>
      </c>
      <c r="J46" s="24">
        <f>SUM(J47:J48)</f>
        <v>21100</v>
      </c>
      <c r="K46" s="24">
        <f t="shared" si="1"/>
        <v>7900</v>
      </c>
      <c r="L46" s="24">
        <f>SUM(L47:L48)</f>
        <v>7900</v>
      </c>
      <c r="M46" s="24">
        <f>SUM(M47:M48)</f>
        <v>0</v>
      </c>
      <c r="N46" s="24">
        <f>SUM(N47:N48)</f>
        <v>0</v>
      </c>
      <c r="O46" s="22" t="s">
        <v>81</v>
      </c>
      <c r="P46" s="25">
        <v>561</v>
      </c>
      <c r="Q46" s="26" t="s">
        <v>82</v>
      </c>
      <c r="R46" s="31">
        <v>10</v>
      </c>
      <c r="S46" s="81">
        <v>1.5</v>
      </c>
      <c r="T46" s="17">
        <f t="shared" si="2"/>
        <v>15</v>
      </c>
      <c r="U46" s="16">
        <f t="shared" si="7"/>
        <v>267.08860759493672</v>
      </c>
      <c r="V46" s="17">
        <f t="shared" si="8"/>
        <v>100</v>
      </c>
      <c r="W46" s="30"/>
      <c r="X46" s="24">
        <v>630</v>
      </c>
      <c r="Y46" s="19">
        <f>L46/X46*100</f>
        <v>1253.968253968254</v>
      </c>
    </row>
    <row r="47" spans="1:25" ht="2.25" hidden="1" customHeight="1" x14ac:dyDescent="0.25">
      <c r="A47" s="28">
        <v>3</v>
      </c>
      <c r="B47" s="22"/>
      <c r="C47" s="24"/>
      <c r="D47" s="24"/>
      <c r="E47" s="24">
        <v>900</v>
      </c>
      <c r="F47" s="23">
        <f t="shared" si="3"/>
        <v>900</v>
      </c>
      <c r="G47" s="24">
        <v>900</v>
      </c>
      <c r="H47" s="24"/>
      <c r="I47" s="24"/>
      <c r="J47" s="24">
        <v>900</v>
      </c>
      <c r="K47" s="24">
        <f t="shared" si="1"/>
        <v>900</v>
      </c>
      <c r="L47" s="24">
        <v>900</v>
      </c>
      <c r="M47" s="24"/>
      <c r="N47" s="24"/>
      <c r="O47" s="22"/>
      <c r="P47" s="25"/>
      <c r="Q47" s="26"/>
      <c r="R47" s="31"/>
      <c r="S47" s="81"/>
      <c r="T47" s="17" t="e">
        <f t="shared" si="2"/>
        <v>#DIV/0!</v>
      </c>
      <c r="U47" s="16">
        <f t="shared" si="7"/>
        <v>100</v>
      </c>
      <c r="V47" s="17">
        <f t="shared" si="8"/>
        <v>100</v>
      </c>
      <c r="W47" s="30"/>
      <c r="X47" s="24">
        <v>630</v>
      </c>
      <c r="Y47" s="19">
        <f>L47/X47*100</f>
        <v>142.85714285714286</v>
      </c>
    </row>
    <row r="48" spans="1:25" ht="12.75" hidden="1" customHeight="1" x14ac:dyDescent="0.25">
      <c r="A48" s="28" t="s">
        <v>83</v>
      </c>
      <c r="B48" s="22"/>
      <c r="C48" s="24"/>
      <c r="D48" s="24"/>
      <c r="E48" s="24">
        <v>3000</v>
      </c>
      <c r="F48" s="23">
        <f t="shared" si="3"/>
        <v>7000</v>
      </c>
      <c r="G48" s="24">
        <f>9000-2000</f>
        <v>7000</v>
      </c>
      <c r="H48" s="24"/>
      <c r="I48" s="24"/>
      <c r="J48" s="24">
        <v>20200</v>
      </c>
      <c r="K48" s="24">
        <f t="shared" si="1"/>
        <v>7000</v>
      </c>
      <c r="L48" s="24">
        <v>7000</v>
      </c>
      <c r="M48" s="24"/>
      <c r="N48" s="24"/>
      <c r="O48" s="22"/>
      <c r="P48" s="25"/>
      <c r="Q48" s="26"/>
      <c r="R48" s="31"/>
      <c r="S48" s="81"/>
      <c r="T48" s="17" t="e">
        <f t="shared" si="2"/>
        <v>#DIV/0!</v>
      </c>
      <c r="U48" s="16">
        <f t="shared" si="7"/>
        <v>288.57142857142856</v>
      </c>
      <c r="V48" s="17">
        <f t="shared" si="8"/>
        <v>100</v>
      </c>
      <c r="W48" s="30"/>
      <c r="X48" s="24"/>
      <c r="Y48" s="19"/>
    </row>
    <row r="49" spans="1:25" ht="20.45" customHeight="1" x14ac:dyDescent="0.25">
      <c r="A49" s="9" t="s">
        <v>84</v>
      </c>
      <c r="B49" s="10" t="s">
        <v>85</v>
      </c>
      <c r="C49" s="11">
        <f>SUM(C50:C53)</f>
        <v>59545</v>
      </c>
      <c r="D49" s="11">
        <f>SUM(D50:D53)</f>
        <v>0</v>
      </c>
      <c r="E49" s="11">
        <f>SUM(E50:E53)</f>
        <v>187764.2</v>
      </c>
      <c r="F49" s="11">
        <f>SUM(F50:F53)</f>
        <v>124746.4</v>
      </c>
      <c r="G49" s="11">
        <f>SUM(G50:G53)</f>
        <v>91446.399999999994</v>
      </c>
      <c r="H49" s="11">
        <f t="shared" ref="H49:N49" si="9">SUM(H50:H53)</f>
        <v>33300</v>
      </c>
      <c r="I49" s="11">
        <f t="shared" si="9"/>
        <v>0</v>
      </c>
      <c r="J49" s="11">
        <f>SUM(J50:J53)</f>
        <v>286964.59999999998</v>
      </c>
      <c r="K49" s="11">
        <f t="shared" si="9"/>
        <v>105653</v>
      </c>
      <c r="L49" s="11">
        <f t="shared" si="9"/>
        <v>99187</v>
      </c>
      <c r="M49" s="11">
        <f t="shared" si="9"/>
        <v>6466</v>
      </c>
      <c r="N49" s="11">
        <f t="shared" si="9"/>
        <v>0</v>
      </c>
      <c r="O49" s="10"/>
      <c r="P49" s="13">
        <v>7324.3</v>
      </c>
      <c r="Q49" s="14" t="s">
        <v>86</v>
      </c>
      <c r="R49" s="15">
        <f>R50+R51+R52+R66</f>
        <v>29286.010000000002</v>
      </c>
      <c r="S49" s="80">
        <f>S50+S51+S52+S66</f>
        <v>2737.67</v>
      </c>
      <c r="T49" s="17">
        <f t="shared" si="2"/>
        <v>9.348047070939332</v>
      </c>
      <c r="U49" s="16">
        <f t="shared" si="7"/>
        <v>313.80633901389228</v>
      </c>
      <c r="V49" s="17">
        <f t="shared" si="8"/>
        <v>108.46463064702382</v>
      </c>
      <c r="W49" s="18" t="e">
        <f>L49/L90*100</f>
        <v>#REF!</v>
      </c>
      <c r="X49" s="11">
        <f>SUM(X50:X53)</f>
        <v>123998.7</v>
      </c>
      <c r="Y49" s="19">
        <f>L49/X49*100</f>
        <v>79.990354737589996</v>
      </c>
    </row>
    <row r="50" spans="1:25" ht="15.75" x14ac:dyDescent="0.25">
      <c r="A50" s="28" t="s">
        <v>87</v>
      </c>
      <c r="B50" s="22"/>
      <c r="C50" s="24">
        <v>0</v>
      </c>
      <c r="D50" s="24"/>
      <c r="E50" s="24">
        <v>2500</v>
      </c>
      <c r="F50" s="23">
        <f t="shared" si="3"/>
        <v>8584.0999999999985</v>
      </c>
      <c r="G50" s="24">
        <f>32888.5-19806.2-4498.2</f>
        <v>8584.0999999999985</v>
      </c>
      <c r="H50" s="24"/>
      <c r="I50" s="24"/>
      <c r="J50" s="24">
        <v>10000</v>
      </c>
      <c r="K50" s="24">
        <f t="shared" si="1"/>
        <v>16466</v>
      </c>
      <c r="L50" s="24">
        <v>10000</v>
      </c>
      <c r="M50" s="24">
        <v>6466</v>
      </c>
      <c r="N50" s="24"/>
      <c r="O50" s="22" t="s">
        <v>88</v>
      </c>
      <c r="P50" s="25">
        <v>2341.4</v>
      </c>
      <c r="Q50" s="26" t="s">
        <v>89</v>
      </c>
      <c r="R50" s="31">
        <v>3622.46</v>
      </c>
      <c r="S50" s="81">
        <v>311.29000000000002</v>
      </c>
      <c r="T50" s="84">
        <f t="shared" si="2"/>
        <v>8.5933316033855451</v>
      </c>
      <c r="U50" s="16">
        <f t="shared" si="7"/>
        <v>116.49444903950328</v>
      </c>
      <c r="V50" s="17">
        <f t="shared" si="8"/>
        <v>116.49444903950328</v>
      </c>
      <c r="W50" s="30"/>
      <c r="X50" s="24">
        <v>6400</v>
      </c>
      <c r="Y50" s="19"/>
    </row>
    <row r="51" spans="1:25" ht="19.899999999999999" customHeight="1" x14ac:dyDescent="0.25">
      <c r="A51" s="28" t="s">
        <v>90</v>
      </c>
      <c r="B51" s="22"/>
      <c r="C51" s="24">
        <v>53545</v>
      </c>
      <c r="D51" s="24">
        <v>-5700</v>
      </c>
      <c r="E51" s="24">
        <v>127031.4</v>
      </c>
      <c r="F51" s="23">
        <f t="shared" si="3"/>
        <v>8995.8000000000029</v>
      </c>
      <c r="G51" s="24">
        <f>100242.1-95206.8+2960.5</f>
        <v>7995.8000000000029</v>
      </c>
      <c r="H51" s="24">
        <v>1000</v>
      </c>
      <c r="I51" s="24"/>
      <c r="J51" s="24">
        <f>854.5+445.8</f>
        <v>1300.3</v>
      </c>
      <c r="K51" s="24">
        <f t="shared" si="1"/>
        <v>0</v>
      </c>
      <c r="L51" s="24"/>
      <c r="M51" s="24"/>
      <c r="N51" s="24"/>
      <c r="O51" s="22" t="s">
        <v>91</v>
      </c>
      <c r="P51" s="25">
        <v>1340</v>
      </c>
      <c r="Q51" s="26" t="s">
        <v>92</v>
      </c>
      <c r="R51" s="31">
        <v>756.23</v>
      </c>
      <c r="S51" s="81">
        <v>255</v>
      </c>
      <c r="T51" s="84">
        <f t="shared" si="2"/>
        <v>33.719900030414024</v>
      </c>
      <c r="U51" s="16">
        <f t="shared" si="7"/>
        <v>16.262287701043039</v>
      </c>
      <c r="V51" s="17">
        <f t="shared" si="8"/>
        <v>0</v>
      </c>
      <c r="W51" s="30"/>
      <c r="X51" s="24">
        <v>103230.5</v>
      </c>
      <c r="Y51" s="19">
        <f>L51/X51*100</f>
        <v>0</v>
      </c>
    </row>
    <row r="52" spans="1:25" ht="15.75" x14ac:dyDescent="0.25">
      <c r="A52" s="28" t="s">
        <v>93</v>
      </c>
      <c r="B52" s="22"/>
      <c r="C52" s="24"/>
      <c r="D52" s="24"/>
      <c r="E52" s="24"/>
      <c r="F52" s="23">
        <f t="shared" si="3"/>
        <v>0</v>
      </c>
      <c r="G52" s="24"/>
      <c r="H52" s="24"/>
      <c r="I52" s="24"/>
      <c r="J52" s="24">
        <v>37360</v>
      </c>
      <c r="K52" s="24">
        <f t="shared" si="1"/>
        <v>8239</v>
      </c>
      <c r="L52" s="24">
        <v>8239</v>
      </c>
      <c r="M52" s="24"/>
      <c r="N52" s="24"/>
      <c r="O52" s="22" t="s">
        <v>94</v>
      </c>
      <c r="P52" s="25">
        <v>3642.9</v>
      </c>
      <c r="Q52" s="26"/>
      <c r="R52" s="31">
        <v>13055.31</v>
      </c>
      <c r="S52" s="81">
        <v>463.28</v>
      </c>
      <c r="T52" s="84">
        <f t="shared" si="2"/>
        <v>3.5485944033500543</v>
      </c>
      <c r="U52" s="16"/>
      <c r="V52" s="17"/>
      <c r="W52" s="30"/>
      <c r="X52" s="24"/>
      <c r="Y52" s="19"/>
    </row>
    <row r="53" spans="1:25" ht="0.6" customHeight="1" x14ac:dyDescent="0.25">
      <c r="A53" s="28" t="s">
        <v>95</v>
      </c>
      <c r="B53" s="22"/>
      <c r="C53" s="24">
        <v>6000</v>
      </c>
      <c r="D53" s="24">
        <v>5700</v>
      </c>
      <c r="E53" s="24">
        <f>SUM(E54:E57)</f>
        <v>58232.800000000003</v>
      </c>
      <c r="F53" s="23">
        <f t="shared" si="3"/>
        <v>107166.5</v>
      </c>
      <c r="G53" s="24">
        <f>SUM(G54:G57)</f>
        <v>74866.5</v>
      </c>
      <c r="H53" s="24">
        <f>SUM(H54:H57)</f>
        <v>32300</v>
      </c>
      <c r="I53" s="24">
        <f>SUM(I54:I57)</f>
        <v>0</v>
      </c>
      <c r="J53" s="24">
        <f>SUM(J54:J57)</f>
        <v>238304.3</v>
      </c>
      <c r="K53" s="24">
        <f t="shared" si="1"/>
        <v>80948</v>
      </c>
      <c r="L53" s="24">
        <f>SUM(L54:L57)</f>
        <v>80948</v>
      </c>
      <c r="M53" s="24">
        <f>SUM(M54:M57)</f>
        <v>0</v>
      </c>
      <c r="N53" s="24">
        <f>SUM(N54:N57)</f>
        <v>0</v>
      </c>
      <c r="O53" s="22" t="s">
        <v>96</v>
      </c>
      <c r="P53" s="25"/>
      <c r="Q53" s="26"/>
      <c r="R53" s="31"/>
      <c r="S53" s="81"/>
      <c r="T53" s="17" t="e">
        <f t="shared" si="2"/>
        <v>#DIV/0!</v>
      </c>
      <c r="U53" s="16">
        <f>J53/G53*100</f>
        <v>318.3056507249571</v>
      </c>
      <c r="V53" s="17">
        <f>L53/G53*100</f>
        <v>108.12312583064521</v>
      </c>
      <c r="W53" s="30"/>
      <c r="X53" s="24">
        <f>SUM(X54:X57)</f>
        <v>14368.2</v>
      </c>
      <c r="Y53" s="19">
        <f>L53/X53*100</f>
        <v>563.38302640553445</v>
      </c>
    </row>
    <row r="54" spans="1:25" ht="12.75" hidden="1" customHeight="1" x14ac:dyDescent="0.25">
      <c r="A54" s="28" t="s">
        <v>97</v>
      </c>
      <c r="B54" s="22"/>
      <c r="C54" s="24"/>
      <c r="D54" s="24"/>
      <c r="E54" s="24">
        <v>45600</v>
      </c>
      <c r="F54" s="23">
        <f t="shared" si="3"/>
        <v>62143.5</v>
      </c>
      <c r="G54" s="34">
        <f>64227-2590+506.5</f>
        <v>62143.5</v>
      </c>
      <c r="H54" s="24"/>
      <c r="I54" s="24"/>
      <c r="J54" s="24">
        <v>224152.9</v>
      </c>
      <c r="K54" s="24">
        <f t="shared" si="1"/>
        <v>68280</v>
      </c>
      <c r="L54" s="24">
        <v>68280</v>
      </c>
      <c r="M54" s="24"/>
      <c r="N54" s="24"/>
      <c r="O54" s="22"/>
      <c r="P54" s="25"/>
      <c r="Q54" s="26"/>
      <c r="R54" s="31"/>
      <c r="S54" s="81"/>
      <c r="T54" s="17" t="e">
        <f t="shared" si="2"/>
        <v>#DIV/0!</v>
      </c>
      <c r="U54" s="16">
        <f>J54/G54*100</f>
        <v>360.70208469107791</v>
      </c>
      <c r="V54" s="17">
        <f>L54/G54*100</f>
        <v>109.87472543387481</v>
      </c>
      <c r="W54" s="30"/>
      <c r="X54" s="24">
        <v>3635.7</v>
      </c>
      <c r="Y54" s="19">
        <f>L54/X54*100</f>
        <v>1878.0427428005612</v>
      </c>
    </row>
    <row r="55" spans="1:25" ht="12.75" hidden="1" customHeight="1" x14ac:dyDescent="0.25">
      <c r="A55" s="28" t="s">
        <v>98</v>
      </c>
      <c r="B55" s="22"/>
      <c r="C55" s="24"/>
      <c r="D55" s="24"/>
      <c r="E55" s="24"/>
      <c r="F55" s="23">
        <f t="shared" si="3"/>
        <v>1033</v>
      </c>
      <c r="G55" s="24">
        <v>1033</v>
      </c>
      <c r="H55" s="24"/>
      <c r="I55" s="24"/>
      <c r="J55" s="24"/>
      <c r="K55" s="24">
        <f t="shared" si="1"/>
        <v>0</v>
      </c>
      <c r="L55" s="24"/>
      <c r="M55" s="24"/>
      <c r="N55" s="24"/>
      <c r="O55" s="22"/>
      <c r="P55" s="25"/>
      <c r="Q55" s="26"/>
      <c r="R55" s="31"/>
      <c r="S55" s="81"/>
      <c r="T55" s="17" t="e">
        <f t="shared" si="2"/>
        <v>#DIV/0!</v>
      </c>
      <c r="U55" s="16">
        <f>J55/G55*100</f>
        <v>0</v>
      </c>
      <c r="V55" s="17">
        <f>L55/G55*100</f>
        <v>0</v>
      </c>
      <c r="W55" s="30"/>
      <c r="X55" s="24"/>
      <c r="Y55" s="19" t="e">
        <f>L55/X55*100</f>
        <v>#DIV/0!</v>
      </c>
    </row>
    <row r="56" spans="1:25" ht="11.25" hidden="1" customHeight="1" x14ac:dyDescent="0.25">
      <c r="A56" s="28" t="s">
        <v>99</v>
      </c>
      <c r="B56" s="22"/>
      <c r="C56" s="24"/>
      <c r="D56" s="24"/>
      <c r="E56" s="24"/>
      <c r="F56" s="23">
        <f t="shared" si="3"/>
        <v>32300</v>
      </c>
      <c r="G56" s="24"/>
      <c r="H56" s="24">
        <v>32300</v>
      </c>
      <c r="I56" s="24"/>
      <c r="J56" s="24"/>
      <c r="K56" s="24">
        <f t="shared" si="1"/>
        <v>0</v>
      </c>
      <c r="L56" s="24"/>
      <c r="M56" s="24"/>
      <c r="N56" s="24"/>
      <c r="O56" s="22"/>
      <c r="P56" s="25"/>
      <c r="Q56" s="26"/>
      <c r="R56" s="31"/>
      <c r="S56" s="81"/>
      <c r="T56" s="17" t="e">
        <f t="shared" si="2"/>
        <v>#DIV/0!</v>
      </c>
      <c r="U56" s="16"/>
      <c r="V56" s="17"/>
      <c r="W56" s="30"/>
      <c r="X56" s="24">
        <v>4052.8</v>
      </c>
      <c r="Y56" s="19"/>
    </row>
    <row r="57" spans="1:25" ht="13.5" hidden="1" customHeight="1" x14ac:dyDescent="0.25">
      <c r="A57" s="28" t="s">
        <v>100</v>
      </c>
      <c r="B57" s="22"/>
      <c r="C57" s="24"/>
      <c r="D57" s="24"/>
      <c r="E57" s="24">
        <v>12632.8</v>
      </c>
      <c r="F57" s="23">
        <f t="shared" si="3"/>
        <v>11690</v>
      </c>
      <c r="G57" s="24">
        <v>11690</v>
      </c>
      <c r="H57" s="24"/>
      <c r="I57" s="24"/>
      <c r="J57" s="24">
        <v>14151.4</v>
      </c>
      <c r="K57" s="24">
        <f t="shared" si="1"/>
        <v>12668</v>
      </c>
      <c r="L57" s="24">
        <v>12668</v>
      </c>
      <c r="M57" s="24"/>
      <c r="N57" s="24"/>
      <c r="O57" s="22"/>
      <c r="P57" s="25"/>
      <c r="Q57" s="26"/>
      <c r="R57" s="31"/>
      <c r="S57" s="81"/>
      <c r="T57" s="17" t="e">
        <f t="shared" si="2"/>
        <v>#DIV/0!</v>
      </c>
      <c r="U57" s="16">
        <f>J57/G57*100</f>
        <v>121.05560307955517</v>
      </c>
      <c r="V57" s="17">
        <f>L57/G57*100</f>
        <v>108.366124893071</v>
      </c>
      <c r="W57" s="30"/>
      <c r="X57" s="24">
        <v>6679.7</v>
      </c>
      <c r="Y57" s="19">
        <f>L57/X57*100</f>
        <v>189.64923574412026</v>
      </c>
    </row>
    <row r="58" spans="1:25" ht="15" hidden="1" customHeight="1" x14ac:dyDescent="0.25">
      <c r="A58" s="9" t="s">
        <v>101</v>
      </c>
      <c r="B58" s="10" t="s">
        <v>102</v>
      </c>
      <c r="C58" s="24"/>
      <c r="D58" s="24"/>
      <c r="E58" s="11">
        <f t="shared" ref="E58:N58" si="10">E60</f>
        <v>491.8</v>
      </c>
      <c r="F58" s="11">
        <f t="shared" si="10"/>
        <v>130</v>
      </c>
      <c r="G58" s="11">
        <f t="shared" si="10"/>
        <v>130</v>
      </c>
      <c r="H58" s="11">
        <f t="shared" si="10"/>
        <v>0</v>
      </c>
      <c r="I58" s="11">
        <f t="shared" si="10"/>
        <v>0</v>
      </c>
      <c r="J58" s="11">
        <f>J60</f>
        <v>930</v>
      </c>
      <c r="K58" s="11">
        <f t="shared" si="10"/>
        <v>140</v>
      </c>
      <c r="L58" s="11">
        <f t="shared" si="10"/>
        <v>140</v>
      </c>
      <c r="M58" s="11">
        <f t="shared" si="10"/>
        <v>0</v>
      </c>
      <c r="N58" s="11">
        <f t="shared" si="10"/>
        <v>0</v>
      </c>
      <c r="O58" s="10"/>
      <c r="P58" s="13"/>
      <c r="Q58" s="14"/>
      <c r="R58" s="15"/>
      <c r="S58" s="80"/>
      <c r="T58" s="17" t="e">
        <f t="shared" si="2"/>
        <v>#DIV/0!</v>
      </c>
      <c r="U58" s="16">
        <f>J58/G58*100</f>
        <v>715.38461538461547</v>
      </c>
      <c r="V58" s="17">
        <f>L58/G58*100</f>
        <v>107.69230769230769</v>
      </c>
      <c r="W58" s="30"/>
      <c r="X58" s="11">
        <f>X60</f>
        <v>0</v>
      </c>
      <c r="Y58" s="19"/>
    </row>
    <row r="59" spans="1:25" ht="12" hidden="1" customHeight="1" x14ac:dyDescent="0.25">
      <c r="A59" s="28" t="s">
        <v>103</v>
      </c>
      <c r="B59" s="22" t="s">
        <v>104</v>
      </c>
      <c r="C59" s="24"/>
      <c r="D59" s="24"/>
      <c r="E59" s="11"/>
      <c r="F59" s="23">
        <f t="shared" si="3"/>
        <v>0</v>
      </c>
      <c r="G59" s="11"/>
      <c r="H59" s="11"/>
      <c r="I59" s="11"/>
      <c r="J59" s="11"/>
      <c r="K59" s="11"/>
      <c r="L59" s="11"/>
      <c r="M59" s="11"/>
      <c r="N59" s="11"/>
      <c r="O59" s="22" t="s">
        <v>104</v>
      </c>
      <c r="P59" s="25"/>
      <c r="Q59" s="26"/>
      <c r="R59" s="31"/>
      <c r="S59" s="81"/>
      <c r="T59" s="17" t="e">
        <f t="shared" si="2"/>
        <v>#DIV/0!</v>
      </c>
      <c r="U59" s="16"/>
      <c r="V59" s="17"/>
      <c r="W59" s="30"/>
      <c r="X59" s="11"/>
      <c r="Y59" s="19"/>
    </row>
    <row r="60" spans="1:25" ht="12.6" hidden="1" customHeight="1" x14ac:dyDescent="0.25">
      <c r="A60" s="28" t="s">
        <v>105</v>
      </c>
      <c r="B60" s="22"/>
      <c r="C60" s="24"/>
      <c r="D60" s="24"/>
      <c r="E60" s="24">
        <v>491.8</v>
      </c>
      <c r="F60" s="23">
        <f t="shared" si="3"/>
        <v>130</v>
      </c>
      <c r="G60" s="24">
        <v>130</v>
      </c>
      <c r="H60" s="24"/>
      <c r="I60" s="24"/>
      <c r="J60" s="24">
        <v>930</v>
      </c>
      <c r="K60" s="24">
        <f t="shared" si="1"/>
        <v>140</v>
      </c>
      <c r="L60" s="24">
        <v>140</v>
      </c>
      <c r="M60" s="24"/>
      <c r="N60" s="24"/>
      <c r="O60" s="22" t="s">
        <v>106</v>
      </c>
      <c r="P60" s="25"/>
      <c r="Q60" s="26"/>
      <c r="R60" s="31"/>
      <c r="S60" s="81"/>
      <c r="T60" s="17" t="e">
        <f t="shared" si="2"/>
        <v>#DIV/0!</v>
      </c>
      <c r="U60" s="16">
        <f t="shared" ref="U60:U65" si="11">J60/G60*100</f>
        <v>715.38461538461547</v>
      </c>
      <c r="V60" s="17">
        <f t="shared" ref="V60:V65" si="12">L60/G60*100</f>
        <v>107.69230769230769</v>
      </c>
      <c r="W60" s="30"/>
      <c r="X60" s="24"/>
      <c r="Y60" s="19"/>
    </row>
    <row r="61" spans="1:25" ht="15" hidden="1" customHeight="1" x14ac:dyDescent="0.25">
      <c r="A61" s="9" t="s">
        <v>107</v>
      </c>
      <c r="B61" s="10" t="s">
        <v>108</v>
      </c>
      <c r="C61" s="11">
        <f t="shared" ref="C61:N61" si="13">SUM(C62:C65)</f>
        <v>868060</v>
      </c>
      <c r="D61" s="11">
        <f t="shared" si="13"/>
        <v>0</v>
      </c>
      <c r="E61" s="11" t="e">
        <f t="shared" si="13"/>
        <v>#REF!</v>
      </c>
      <c r="F61" s="11" t="e">
        <f t="shared" si="13"/>
        <v>#REF!</v>
      </c>
      <c r="G61" s="11" t="e">
        <f t="shared" si="13"/>
        <v>#REF!</v>
      </c>
      <c r="H61" s="11" t="e">
        <f t="shared" si="13"/>
        <v>#REF!</v>
      </c>
      <c r="I61" s="11" t="e">
        <f t="shared" si="13"/>
        <v>#REF!</v>
      </c>
      <c r="J61" s="11" t="e">
        <f t="shared" si="13"/>
        <v>#REF!</v>
      </c>
      <c r="K61" s="11" t="e">
        <f t="shared" si="13"/>
        <v>#REF!</v>
      </c>
      <c r="L61" s="11" t="e">
        <f t="shared" si="13"/>
        <v>#REF!</v>
      </c>
      <c r="M61" s="11" t="e">
        <f t="shared" si="13"/>
        <v>#REF!</v>
      </c>
      <c r="N61" s="11" t="e">
        <f t="shared" si="13"/>
        <v>#REF!</v>
      </c>
      <c r="O61" s="10"/>
      <c r="P61" s="13"/>
      <c r="Q61" s="14"/>
      <c r="R61" s="15"/>
      <c r="S61" s="80"/>
      <c r="T61" s="17" t="e">
        <f t="shared" si="2"/>
        <v>#DIV/0!</v>
      </c>
      <c r="U61" s="16" t="e">
        <f t="shared" si="11"/>
        <v>#REF!</v>
      </c>
      <c r="V61" s="17" t="e">
        <f t="shared" si="12"/>
        <v>#REF!</v>
      </c>
      <c r="W61" s="18" t="e">
        <f>L61/L90*100</f>
        <v>#REF!</v>
      </c>
      <c r="X61" s="11" t="e">
        <f>SUM(X62:X65)</f>
        <v>#REF!</v>
      </c>
      <c r="Y61" s="19" t="e">
        <f>L61/X61*100</f>
        <v>#REF!</v>
      </c>
    </row>
    <row r="62" spans="1:25" ht="16.149999999999999" hidden="1" customHeight="1" x14ac:dyDescent="0.25">
      <c r="A62" s="28" t="s">
        <v>109</v>
      </c>
      <c r="B62" s="22"/>
      <c r="C62" s="24">
        <v>273586</v>
      </c>
      <c r="D62" s="24"/>
      <c r="E62" s="24">
        <v>297228</v>
      </c>
      <c r="F62" s="23">
        <f t="shared" si="3"/>
        <v>307666.59999999998</v>
      </c>
      <c r="G62" s="24">
        <f>266621.4+3925.8</f>
        <v>270547.20000000001</v>
      </c>
      <c r="H62" s="24">
        <f>148+151.1</f>
        <v>299.10000000000002</v>
      </c>
      <c r="I62" s="24">
        <v>36820.300000000003</v>
      </c>
      <c r="J62" s="24">
        <v>378102.7</v>
      </c>
      <c r="K62" s="24">
        <f>L62+M62+N62</f>
        <v>365365.7</v>
      </c>
      <c r="L62" s="24">
        <v>322946</v>
      </c>
      <c r="M62" s="24"/>
      <c r="N62" s="24">
        <v>42419.7</v>
      </c>
      <c r="O62" s="22" t="s">
        <v>110</v>
      </c>
      <c r="P62" s="25"/>
      <c r="Q62" s="26"/>
      <c r="R62" s="31"/>
      <c r="S62" s="81"/>
      <c r="T62" s="17" t="e">
        <f t="shared" si="2"/>
        <v>#DIV/0!</v>
      </c>
      <c r="U62" s="16">
        <f t="shared" si="11"/>
        <v>139.75480064107114</v>
      </c>
      <c r="V62" s="17">
        <f t="shared" si="12"/>
        <v>119.36771106853075</v>
      </c>
      <c r="W62" s="30"/>
      <c r="X62" s="24">
        <v>144966.1</v>
      </c>
      <c r="Y62" s="19">
        <f>L62/X62*100</f>
        <v>222.77346220944071</v>
      </c>
    </row>
    <row r="63" spans="1:25" ht="15.6" hidden="1" customHeight="1" x14ac:dyDescent="0.25">
      <c r="A63" s="28" t="s">
        <v>111</v>
      </c>
      <c r="B63" s="22"/>
      <c r="C63" s="24">
        <v>560216</v>
      </c>
      <c r="D63" s="24"/>
      <c r="E63" s="24">
        <v>630304.6</v>
      </c>
      <c r="F63" s="23">
        <f t="shared" si="3"/>
        <v>584069.1</v>
      </c>
      <c r="G63" s="24">
        <f>229015.3+1537.8-49348.1</f>
        <v>181204.99999999997</v>
      </c>
      <c r="H63" s="24">
        <f>388910.2+322</f>
        <v>389232.2</v>
      </c>
      <c r="I63" s="24">
        <f>19789.6+25-6182.7</f>
        <v>13631.899999999998</v>
      </c>
      <c r="J63" s="24">
        <v>303240.7</v>
      </c>
      <c r="K63" s="24">
        <f>L63+M63+N63</f>
        <v>717186.4</v>
      </c>
      <c r="L63" s="24">
        <v>221625</v>
      </c>
      <c r="M63" s="24">
        <f>10772.6+447892+24724</f>
        <v>483388.6</v>
      </c>
      <c r="N63" s="24">
        <f>13347.8-1175</f>
        <v>12172.8</v>
      </c>
      <c r="O63" s="22" t="s">
        <v>112</v>
      </c>
      <c r="P63" s="25"/>
      <c r="Q63" s="26"/>
      <c r="R63" s="31"/>
      <c r="S63" s="81"/>
      <c r="T63" s="17" t="e">
        <f t="shared" si="2"/>
        <v>#DIV/0!</v>
      </c>
      <c r="U63" s="16">
        <f t="shared" si="11"/>
        <v>167.34676195469223</v>
      </c>
      <c r="V63" s="17">
        <f t="shared" si="12"/>
        <v>122.30622775309735</v>
      </c>
      <c r="W63" s="30"/>
      <c r="X63" s="24">
        <v>322667</v>
      </c>
      <c r="Y63" s="19">
        <f>L63/X63*100</f>
        <v>68.685362928344091</v>
      </c>
    </row>
    <row r="64" spans="1:25" ht="16.899999999999999" hidden="1" customHeight="1" x14ac:dyDescent="0.25">
      <c r="A64" s="28" t="s">
        <v>113</v>
      </c>
      <c r="B64" s="22"/>
      <c r="C64" s="24">
        <v>3320</v>
      </c>
      <c r="D64" s="24"/>
      <c r="E64" s="24">
        <v>13350</v>
      </c>
      <c r="F64" s="23">
        <f t="shared" si="3"/>
        <v>18884.400000000001</v>
      </c>
      <c r="G64" s="24">
        <f>4600+170+100-2190.6</f>
        <v>2679.4</v>
      </c>
      <c r="H64" s="24">
        <v>1557.2</v>
      </c>
      <c r="I64" s="24">
        <f>15244.9-597.1</f>
        <v>14647.8</v>
      </c>
      <c r="J64" s="24">
        <v>4580</v>
      </c>
      <c r="K64" s="24">
        <f t="shared" si="1"/>
        <v>14030</v>
      </c>
      <c r="L64" s="24">
        <v>4080</v>
      </c>
      <c r="M64" s="24">
        <v>650</v>
      </c>
      <c r="N64" s="24">
        <v>9300</v>
      </c>
      <c r="O64" s="22" t="s">
        <v>114</v>
      </c>
      <c r="P64" s="25"/>
      <c r="Q64" s="26"/>
      <c r="R64" s="31"/>
      <c r="S64" s="81"/>
      <c r="T64" s="17" t="e">
        <f t="shared" si="2"/>
        <v>#DIV/0!</v>
      </c>
      <c r="U64" s="16">
        <f t="shared" si="11"/>
        <v>170.93379114727176</v>
      </c>
      <c r="V64" s="17">
        <f t="shared" si="12"/>
        <v>152.27289691722027</v>
      </c>
      <c r="W64" s="30"/>
      <c r="X64" s="24">
        <v>12560</v>
      </c>
      <c r="Y64" s="19">
        <f>L64/X64*100</f>
        <v>32.484076433121018</v>
      </c>
    </row>
    <row r="65" spans="1:25" ht="16.149999999999999" hidden="1" customHeight="1" x14ac:dyDescent="0.25">
      <c r="A65" s="28" t="s">
        <v>115</v>
      </c>
      <c r="B65" s="22"/>
      <c r="C65" s="24">
        <v>30938</v>
      </c>
      <c r="D65" s="24"/>
      <c r="E65" s="24" t="e">
        <f>SUM(#REF!)</f>
        <v>#REF!</v>
      </c>
      <c r="F65" s="23" t="e">
        <f t="shared" si="3"/>
        <v>#REF!</v>
      </c>
      <c r="G65" s="24" t="e">
        <f>SUM(#REF!)</f>
        <v>#REF!</v>
      </c>
      <c r="H65" s="24" t="e">
        <f>SUM(#REF!)</f>
        <v>#REF!</v>
      </c>
      <c r="I65" s="24" t="e">
        <f>SUM(#REF!)</f>
        <v>#REF!</v>
      </c>
      <c r="J65" s="24" t="e">
        <f>SUM(#REF!)</f>
        <v>#REF!</v>
      </c>
      <c r="K65" s="24" t="e">
        <f t="shared" si="1"/>
        <v>#REF!</v>
      </c>
      <c r="L65" s="24" t="e">
        <f>SUM(#REF!)</f>
        <v>#REF!</v>
      </c>
      <c r="M65" s="24" t="e">
        <f>SUM(#REF!)</f>
        <v>#REF!</v>
      </c>
      <c r="N65" s="24" t="e">
        <f>SUM(#REF!)</f>
        <v>#REF!</v>
      </c>
      <c r="O65" s="22" t="s">
        <v>116</v>
      </c>
      <c r="P65" s="25"/>
      <c r="Q65" s="26"/>
      <c r="R65" s="31"/>
      <c r="S65" s="81"/>
      <c r="T65" s="17" t="e">
        <f t="shared" si="2"/>
        <v>#DIV/0!</v>
      </c>
      <c r="U65" s="16" t="e">
        <f t="shared" si="11"/>
        <v>#REF!</v>
      </c>
      <c r="V65" s="17" t="e">
        <f t="shared" si="12"/>
        <v>#REF!</v>
      </c>
      <c r="W65" s="30"/>
      <c r="X65" s="24" t="e">
        <f>SUM(#REF!)</f>
        <v>#REF!</v>
      </c>
      <c r="Y65" s="19" t="e">
        <f>L65/X65*100</f>
        <v>#REF!</v>
      </c>
    </row>
    <row r="66" spans="1:25" ht="34.9" customHeight="1" x14ac:dyDescent="0.25">
      <c r="A66" s="28" t="s">
        <v>162</v>
      </c>
      <c r="B66" s="22"/>
      <c r="C66" s="24"/>
      <c r="D66" s="24"/>
      <c r="E66" s="24"/>
      <c r="F66" s="23"/>
      <c r="G66" s="24"/>
      <c r="H66" s="24"/>
      <c r="I66" s="24"/>
      <c r="J66" s="24"/>
      <c r="K66" s="24"/>
      <c r="L66" s="24"/>
      <c r="M66" s="24"/>
      <c r="N66" s="24"/>
      <c r="O66" s="22" t="s">
        <v>96</v>
      </c>
      <c r="P66" s="25"/>
      <c r="Q66" s="26"/>
      <c r="R66" s="31">
        <v>11852.01</v>
      </c>
      <c r="S66" s="81">
        <v>1708.1</v>
      </c>
      <c r="T66" s="84">
        <f t="shared" si="2"/>
        <v>14.411901441190142</v>
      </c>
      <c r="U66" s="16"/>
      <c r="V66" s="17"/>
      <c r="W66" s="30"/>
      <c r="X66" s="24"/>
      <c r="Y66" s="19"/>
    </row>
    <row r="67" spans="1:25" ht="18" customHeight="1" x14ac:dyDescent="0.25">
      <c r="A67" s="9" t="s">
        <v>107</v>
      </c>
      <c r="B67" s="10" t="s">
        <v>108</v>
      </c>
      <c r="C67" s="11"/>
      <c r="D67" s="11"/>
      <c r="E67" s="11"/>
      <c r="F67" s="12"/>
      <c r="G67" s="11"/>
      <c r="H67" s="11"/>
      <c r="I67" s="11"/>
      <c r="J67" s="11"/>
      <c r="K67" s="11"/>
      <c r="L67" s="11"/>
      <c r="M67" s="11"/>
      <c r="N67" s="11"/>
      <c r="O67" s="10"/>
      <c r="P67" s="13">
        <v>20</v>
      </c>
      <c r="Q67" s="14" t="s">
        <v>117</v>
      </c>
      <c r="R67" s="15">
        <f>R68+R69</f>
        <v>170</v>
      </c>
      <c r="S67" s="80">
        <v>1</v>
      </c>
      <c r="T67" s="17">
        <f t="shared" si="2"/>
        <v>0.58823529411764708</v>
      </c>
      <c r="U67" s="16"/>
      <c r="V67" s="17"/>
      <c r="W67" s="30"/>
      <c r="X67" s="24"/>
      <c r="Y67" s="19"/>
    </row>
    <row r="68" spans="1:25" ht="30" customHeight="1" x14ac:dyDescent="0.25">
      <c r="A68" s="21" t="s">
        <v>118</v>
      </c>
      <c r="B68" s="10"/>
      <c r="C68" s="11"/>
      <c r="D68" s="11"/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22" t="s">
        <v>119</v>
      </c>
      <c r="P68" s="13"/>
      <c r="Q68" s="14"/>
      <c r="R68" s="31">
        <v>130</v>
      </c>
      <c r="S68" s="81">
        <v>1</v>
      </c>
      <c r="T68" s="84">
        <f t="shared" si="2"/>
        <v>0.76923076923076927</v>
      </c>
      <c r="U68" s="16"/>
      <c r="V68" s="17"/>
      <c r="W68" s="30"/>
      <c r="X68" s="24"/>
      <c r="Y68" s="19"/>
    </row>
    <row r="69" spans="1:25" ht="20.45" customHeight="1" x14ac:dyDescent="0.25">
      <c r="A69" s="28" t="s">
        <v>120</v>
      </c>
      <c r="B69" s="22"/>
      <c r="C69" s="24"/>
      <c r="D69" s="24"/>
      <c r="E69" s="24"/>
      <c r="F69" s="23"/>
      <c r="G69" s="24"/>
      <c r="H69" s="24"/>
      <c r="I69" s="24"/>
      <c r="J69" s="24"/>
      <c r="K69" s="24"/>
      <c r="L69" s="24"/>
      <c r="M69" s="24"/>
      <c r="N69" s="24"/>
      <c r="O69" s="22" t="s">
        <v>114</v>
      </c>
      <c r="P69" s="25">
        <v>20</v>
      </c>
      <c r="Q69" s="26" t="s">
        <v>117</v>
      </c>
      <c r="R69" s="31">
        <v>40</v>
      </c>
      <c r="S69" s="81">
        <v>0</v>
      </c>
      <c r="T69" s="84">
        <f t="shared" si="2"/>
        <v>0</v>
      </c>
      <c r="U69" s="16"/>
      <c r="V69" s="17"/>
      <c r="W69" s="30"/>
      <c r="X69" s="24"/>
      <c r="Y69" s="19"/>
    </row>
    <row r="70" spans="1:25" ht="23.25" customHeight="1" x14ac:dyDescent="0.25">
      <c r="A70" s="9" t="s">
        <v>121</v>
      </c>
      <c r="B70" s="10" t="s">
        <v>122</v>
      </c>
      <c r="C70" s="11">
        <f t="shared" ref="C70:N70" si="14">SUM(C72:C74)</f>
        <v>2273</v>
      </c>
      <c r="D70" s="11">
        <f t="shared" si="14"/>
        <v>0</v>
      </c>
      <c r="E70" s="11">
        <f t="shared" si="14"/>
        <v>3527.3</v>
      </c>
      <c r="F70" s="11">
        <f t="shared" si="14"/>
        <v>3137.3</v>
      </c>
      <c r="G70" s="11">
        <f t="shared" si="14"/>
        <v>3137.3</v>
      </c>
      <c r="H70" s="11">
        <f t="shared" si="14"/>
        <v>0</v>
      </c>
      <c r="I70" s="11">
        <f t="shared" si="14"/>
        <v>0</v>
      </c>
      <c r="J70" s="11">
        <f t="shared" si="14"/>
        <v>3289</v>
      </c>
      <c r="K70" s="11">
        <f t="shared" si="14"/>
        <v>3120</v>
      </c>
      <c r="L70" s="11">
        <f t="shared" si="14"/>
        <v>3120</v>
      </c>
      <c r="M70" s="11">
        <f t="shared" si="14"/>
        <v>0</v>
      </c>
      <c r="N70" s="11">
        <f t="shared" si="14"/>
        <v>0</v>
      </c>
      <c r="O70" s="10"/>
      <c r="P70" s="13">
        <v>3350</v>
      </c>
      <c r="Q70" s="14" t="s">
        <v>123</v>
      </c>
      <c r="R70" s="15">
        <f>R71</f>
        <v>9336.31</v>
      </c>
      <c r="S70" s="80">
        <f>S71</f>
        <v>1336.15</v>
      </c>
      <c r="T70" s="17">
        <f t="shared" si="2"/>
        <v>14.311328565568196</v>
      </c>
      <c r="U70" s="16">
        <f>J70/G70*100</f>
        <v>104.8353679915851</v>
      </c>
      <c r="V70" s="17">
        <f>L70/G70*100</f>
        <v>99.448570426800103</v>
      </c>
      <c r="W70" s="35" t="e">
        <f>L70/L90*100</f>
        <v>#REF!</v>
      </c>
      <c r="X70" s="11">
        <f>SUM(X72:X74)</f>
        <v>1570.6</v>
      </c>
      <c r="Y70" s="19">
        <f>L70/X70*100</f>
        <v>198.65019737679867</v>
      </c>
    </row>
    <row r="71" spans="1:25" ht="17.25" customHeight="1" x14ac:dyDescent="0.25">
      <c r="A71" s="28" t="s">
        <v>124</v>
      </c>
      <c r="B71" s="22"/>
      <c r="C71" s="24">
        <v>4478</v>
      </c>
      <c r="D71" s="24"/>
      <c r="E71" s="24">
        <v>5358.2</v>
      </c>
      <c r="F71" s="23">
        <f>G71+H71+I71</f>
        <v>3072.6</v>
      </c>
      <c r="G71" s="24">
        <v>3072.6</v>
      </c>
      <c r="H71" s="24"/>
      <c r="I71" s="24"/>
      <c r="J71" s="24">
        <f>3106.5</f>
        <v>3106.5</v>
      </c>
      <c r="K71" s="24">
        <f>L71+M71+N71</f>
        <v>2700</v>
      </c>
      <c r="L71" s="24">
        <v>2700</v>
      </c>
      <c r="M71" s="24"/>
      <c r="N71" s="24"/>
      <c r="O71" s="22" t="s">
        <v>125</v>
      </c>
      <c r="P71" s="25">
        <v>3350</v>
      </c>
      <c r="Q71" s="26" t="s">
        <v>123</v>
      </c>
      <c r="R71" s="31">
        <v>9336.31</v>
      </c>
      <c r="S71" s="81">
        <v>1336.15</v>
      </c>
      <c r="T71" s="84">
        <f t="shared" si="2"/>
        <v>14.311328565568196</v>
      </c>
      <c r="U71" s="16"/>
      <c r="V71" s="17"/>
      <c r="W71" s="35"/>
      <c r="X71" s="11"/>
      <c r="Y71" s="19"/>
    </row>
    <row r="72" spans="1:25" ht="0.6" customHeight="1" x14ac:dyDescent="0.25">
      <c r="A72" s="28" t="s">
        <v>126</v>
      </c>
      <c r="B72" s="22"/>
      <c r="C72" s="24">
        <v>400</v>
      </c>
      <c r="D72" s="24"/>
      <c r="E72" s="24">
        <v>400</v>
      </c>
      <c r="F72" s="23">
        <f t="shared" si="3"/>
        <v>400</v>
      </c>
      <c r="G72" s="24">
        <v>400</v>
      </c>
      <c r="H72" s="24"/>
      <c r="I72" s="24"/>
      <c r="J72" s="24">
        <f>100+400</f>
        <v>500</v>
      </c>
      <c r="K72" s="24">
        <f t="shared" si="1"/>
        <v>400</v>
      </c>
      <c r="L72" s="24">
        <v>400</v>
      </c>
      <c r="M72" s="24"/>
      <c r="N72" s="24"/>
      <c r="O72" s="22" t="s">
        <v>127</v>
      </c>
      <c r="P72" s="25"/>
      <c r="Q72" s="26"/>
      <c r="R72" s="31">
        <v>30</v>
      </c>
      <c r="S72" s="81"/>
      <c r="T72" s="17">
        <f t="shared" si="2"/>
        <v>0</v>
      </c>
      <c r="U72" s="16">
        <f>J72/G72*100</f>
        <v>125</v>
      </c>
      <c r="V72" s="17">
        <f>L72/G72*100</f>
        <v>100</v>
      </c>
      <c r="W72" s="30"/>
      <c r="X72" s="24">
        <v>275</v>
      </c>
      <c r="Y72" s="19">
        <f>L72/X72*100</f>
        <v>145.45454545454547</v>
      </c>
    </row>
    <row r="73" spans="1:25" ht="16.149999999999999" hidden="1" customHeight="1" x14ac:dyDescent="0.25">
      <c r="A73" s="28" t="s">
        <v>128</v>
      </c>
      <c r="B73" s="22"/>
      <c r="C73" s="24">
        <v>480</v>
      </c>
      <c r="D73" s="24"/>
      <c r="E73" s="24">
        <v>480</v>
      </c>
      <c r="F73" s="23">
        <f t="shared" si="3"/>
        <v>480</v>
      </c>
      <c r="G73" s="24">
        <v>480</v>
      </c>
      <c r="H73" s="24"/>
      <c r="I73" s="24"/>
      <c r="J73" s="24">
        <f>50+500</f>
        <v>550</v>
      </c>
      <c r="K73" s="24">
        <f t="shared" si="1"/>
        <v>480</v>
      </c>
      <c r="L73" s="24">
        <v>480</v>
      </c>
      <c r="M73" s="24"/>
      <c r="N73" s="24"/>
      <c r="O73" s="22" t="s">
        <v>129</v>
      </c>
      <c r="P73" s="25"/>
      <c r="Q73" s="26"/>
      <c r="R73" s="31"/>
      <c r="S73" s="81"/>
      <c r="T73" s="17" t="e">
        <f t="shared" si="2"/>
        <v>#DIV/0!</v>
      </c>
      <c r="U73" s="16">
        <f>J73/G73*100</f>
        <v>114.58333333333333</v>
      </c>
      <c r="V73" s="17">
        <f>L73/G73*100</f>
        <v>100</v>
      </c>
      <c r="W73" s="30"/>
      <c r="X73" s="24">
        <v>313.3</v>
      </c>
      <c r="Y73" s="19">
        <f>L73/X73*100</f>
        <v>153.20778806255984</v>
      </c>
    </row>
    <row r="74" spans="1:25" ht="25.9" hidden="1" customHeight="1" x14ac:dyDescent="0.25">
      <c r="A74" s="28" t="s">
        <v>130</v>
      </c>
      <c r="B74" s="22"/>
      <c r="C74" s="24">
        <v>1393</v>
      </c>
      <c r="D74" s="24"/>
      <c r="E74" s="24">
        <v>2647.3</v>
      </c>
      <c r="F74" s="23">
        <f t="shared" si="3"/>
        <v>2257.3000000000002</v>
      </c>
      <c r="G74" s="24">
        <v>2257.3000000000002</v>
      </c>
      <c r="H74" s="24"/>
      <c r="I74" s="24"/>
      <c r="J74" s="24">
        <v>2239</v>
      </c>
      <c r="K74" s="24">
        <f t="shared" si="1"/>
        <v>2240</v>
      </c>
      <c r="L74" s="24">
        <v>2240</v>
      </c>
      <c r="M74" s="24"/>
      <c r="N74" s="24"/>
      <c r="O74" s="22" t="s">
        <v>131</v>
      </c>
      <c r="P74" s="25"/>
      <c r="Q74" s="26"/>
      <c r="R74" s="31"/>
      <c r="S74" s="81"/>
      <c r="T74" s="17" t="e">
        <f t="shared" si="2"/>
        <v>#DIV/0!</v>
      </c>
      <c r="U74" s="16">
        <f>J74/G74*100</f>
        <v>99.189296947680845</v>
      </c>
      <c r="V74" s="17">
        <f>L74/G74*100</f>
        <v>99.233597660922328</v>
      </c>
      <c r="W74" s="30"/>
      <c r="X74" s="24">
        <v>982.3</v>
      </c>
      <c r="Y74" s="19">
        <f>L74/X74*100</f>
        <v>228.03624147409144</v>
      </c>
    </row>
    <row r="75" spans="1:25" ht="19.899999999999999" customHeight="1" x14ac:dyDescent="0.25">
      <c r="A75" s="9" t="s">
        <v>132</v>
      </c>
      <c r="B75" s="10">
        <v>1000</v>
      </c>
      <c r="C75" s="11" t="e">
        <f>SUM(#REF!)</f>
        <v>#REF!</v>
      </c>
      <c r="D75" s="11" t="e">
        <f>SUM(#REF!)</f>
        <v>#REF!</v>
      </c>
      <c r="E75" s="11">
        <f t="shared" ref="E75:N75" si="15">SUM(E77:E77)</f>
        <v>0</v>
      </c>
      <c r="F75" s="11">
        <f t="shared" si="15"/>
        <v>0</v>
      </c>
      <c r="G75" s="11">
        <f t="shared" si="15"/>
        <v>0</v>
      </c>
      <c r="H75" s="11">
        <f t="shared" si="15"/>
        <v>0</v>
      </c>
      <c r="I75" s="11">
        <f t="shared" si="15"/>
        <v>0</v>
      </c>
      <c r="J75" s="11">
        <f t="shared" si="15"/>
        <v>0</v>
      </c>
      <c r="K75" s="11">
        <f t="shared" si="15"/>
        <v>0</v>
      </c>
      <c r="L75" s="11">
        <f t="shared" si="15"/>
        <v>0</v>
      </c>
      <c r="M75" s="11">
        <f t="shared" si="15"/>
        <v>0</v>
      </c>
      <c r="N75" s="11">
        <f t="shared" si="15"/>
        <v>0</v>
      </c>
      <c r="O75" s="10"/>
      <c r="P75" s="13">
        <v>10</v>
      </c>
      <c r="Q75" s="14"/>
      <c r="R75" s="15">
        <v>490</v>
      </c>
      <c r="S75" s="80">
        <v>124.68</v>
      </c>
      <c r="T75" s="17">
        <f t="shared" ref="T75:T90" si="16">S75/R75*100</f>
        <v>25.444897959183677</v>
      </c>
      <c r="U75" s="16"/>
      <c r="V75" s="17"/>
      <c r="W75" s="30"/>
      <c r="X75" s="24"/>
      <c r="Y75" s="19"/>
    </row>
    <row r="76" spans="1:25" ht="19.899999999999999" customHeight="1" x14ac:dyDescent="0.25">
      <c r="A76" s="21" t="s">
        <v>133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2" t="s">
        <v>134</v>
      </c>
      <c r="P76" s="13"/>
      <c r="Q76" s="14"/>
      <c r="R76" s="31">
        <v>490</v>
      </c>
      <c r="S76" s="81">
        <v>124.68</v>
      </c>
      <c r="T76" s="84">
        <f t="shared" si="16"/>
        <v>25.444897959183677</v>
      </c>
      <c r="U76" s="16"/>
      <c r="V76" s="17"/>
      <c r="W76" s="30"/>
      <c r="X76" s="24"/>
      <c r="Y76" s="19"/>
    </row>
    <row r="77" spans="1:25" ht="1.1499999999999999" hidden="1" customHeight="1" x14ac:dyDescent="0.25">
      <c r="A77" s="28" t="s">
        <v>135</v>
      </c>
      <c r="B77" s="22"/>
      <c r="C77" s="24"/>
      <c r="D77" s="24"/>
      <c r="E77" s="24"/>
      <c r="F77" s="23">
        <f t="shared" ref="F77:F87" si="17">G77+H77+I77</f>
        <v>0</v>
      </c>
      <c r="G77" s="24"/>
      <c r="H77" s="24"/>
      <c r="I77" s="24"/>
      <c r="J77" s="24"/>
      <c r="K77" s="24"/>
      <c r="L77" s="24"/>
      <c r="M77" s="24"/>
      <c r="N77" s="24"/>
      <c r="O77" s="22" t="s">
        <v>136</v>
      </c>
      <c r="P77" s="25"/>
      <c r="Q77" s="26"/>
      <c r="R77" s="27"/>
      <c r="S77" s="81"/>
      <c r="T77" s="17" t="e">
        <f t="shared" si="16"/>
        <v>#DIV/0!</v>
      </c>
      <c r="U77" s="16" t="e">
        <f>J77/G77*100</f>
        <v>#DIV/0!</v>
      </c>
      <c r="V77" s="17"/>
      <c r="W77" s="30"/>
      <c r="X77" s="24"/>
      <c r="Y77" s="19"/>
    </row>
    <row r="78" spans="1:25" ht="0.6" hidden="1" customHeight="1" x14ac:dyDescent="0.25">
      <c r="A78" s="28" t="s">
        <v>133</v>
      </c>
      <c r="B78" s="22"/>
      <c r="C78" s="24">
        <v>6460</v>
      </c>
      <c r="D78" s="24"/>
      <c r="E78" s="24">
        <v>5800</v>
      </c>
      <c r="F78" s="23">
        <f t="shared" si="17"/>
        <v>6300</v>
      </c>
      <c r="G78" s="24">
        <f>5800+500</f>
        <v>6300</v>
      </c>
      <c r="H78" s="24"/>
      <c r="I78" s="24"/>
      <c r="J78" s="24">
        <v>7180</v>
      </c>
      <c r="K78" s="24">
        <f t="shared" si="1"/>
        <v>7180</v>
      </c>
      <c r="L78" s="24">
        <v>7180</v>
      </c>
      <c r="M78" s="24"/>
      <c r="N78" s="24"/>
      <c r="O78" s="22">
        <v>1001</v>
      </c>
      <c r="P78" s="25">
        <v>10</v>
      </c>
      <c r="Q78" s="26"/>
      <c r="R78" s="27"/>
      <c r="S78" s="81"/>
      <c r="T78" s="17" t="e">
        <f t="shared" si="16"/>
        <v>#DIV/0!</v>
      </c>
      <c r="U78" s="16">
        <f>J78/G78*100</f>
        <v>113.96825396825396</v>
      </c>
      <c r="V78" s="17">
        <f>L78/G78*100</f>
        <v>113.96825396825396</v>
      </c>
      <c r="W78" s="30"/>
      <c r="X78" s="24">
        <v>3441.8</v>
      </c>
      <c r="Y78" s="19">
        <f t="shared" ref="Y78:Y85" si="18">L78/X78*100</f>
        <v>208.61177290952409</v>
      </c>
    </row>
    <row r="79" spans="1:25" ht="15" hidden="1" customHeight="1" x14ac:dyDescent="0.25">
      <c r="A79" s="28" t="s">
        <v>137</v>
      </c>
      <c r="B79" s="22"/>
      <c r="C79" s="24">
        <v>25317</v>
      </c>
      <c r="D79" s="24"/>
      <c r="E79" s="24">
        <v>32596</v>
      </c>
      <c r="F79" s="23">
        <f t="shared" si="17"/>
        <v>34309.300000000003</v>
      </c>
      <c r="G79" s="24">
        <v>142</v>
      </c>
      <c r="H79" s="24">
        <v>30586</v>
      </c>
      <c r="I79" s="24">
        <f>3360.8+220.5</f>
        <v>3581.3</v>
      </c>
      <c r="J79" s="24">
        <v>417.6</v>
      </c>
      <c r="K79" s="24">
        <f t="shared" si="1"/>
        <v>42185</v>
      </c>
      <c r="L79" s="24">
        <v>417.6</v>
      </c>
      <c r="M79" s="24">
        <v>38249</v>
      </c>
      <c r="N79" s="24">
        <v>3518.4</v>
      </c>
      <c r="O79" s="22">
        <v>1002</v>
      </c>
      <c r="P79" s="25"/>
      <c r="Q79" s="26"/>
      <c r="R79" s="27"/>
      <c r="S79" s="81"/>
      <c r="T79" s="17" t="e">
        <f t="shared" si="16"/>
        <v>#DIV/0!</v>
      </c>
      <c r="U79" s="16">
        <f>J79/G79*100</f>
        <v>294.08450704225351</v>
      </c>
      <c r="V79" s="17"/>
      <c r="W79" s="30"/>
      <c r="X79" s="24">
        <v>14181.6</v>
      </c>
      <c r="Y79" s="19">
        <f t="shared" si="18"/>
        <v>2.9446606870874938</v>
      </c>
    </row>
    <row r="80" spans="1:25" ht="14.25" hidden="1" customHeight="1" x14ac:dyDescent="0.25">
      <c r="A80" s="28" t="s">
        <v>138</v>
      </c>
      <c r="B80" s="22"/>
      <c r="C80" s="24"/>
      <c r="D80" s="24"/>
      <c r="E80" s="24"/>
      <c r="F80" s="23">
        <f t="shared" si="17"/>
        <v>0</v>
      </c>
      <c r="G80" s="24"/>
      <c r="H80" s="24"/>
      <c r="I80" s="24"/>
      <c r="J80" s="24"/>
      <c r="K80" s="24">
        <f t="shared" ref="K80:K85" si="19">L80+M80+N80</f>
        <v>0</v>
      </c>
      <c r="L80" s="24"/>
      <c r="M80" s="24"/>
      <c r="N80" s="24"/>
      <c r="O80" s="22" t="s">
        <v>139</v>
      </c>
      <c r="P80" s="25"/>
      <c r="Q80" s="26"/>
      <c r="R80" s="27"/>
      <c r="S80" s="81"/>
      <c r="T80" s="17" t="e">
        <f t="shared" si="16"/>
        <v>#DIV/0!</v>
      </c>
      <c r="U80" s="16" t="e">
        <f>J80/G80*100</f>
        <v>#DIV/0!</v>
      </c>
      <c r="V80" s="17" t="e">
        <f>L80/G80*100</f>
        <v>#DIV/0!</v>
      </c>
      <c r="W80" s="30"/>
      <c r="X80" s="24"/>
      <c r="Y80" s="19" t="e">
        <f t="shared" si="18"/>
        <v>#DIV/0!</v>
      </c>
    </row>
    <row r="81" spans="1:26" ht="0.6" hidden="1" customHeight="1" x14ac:dyDescent="0.25">
      <c r="A81" s="28" t="s">
        <v>140</v>
      </c>
      <c r="B81" s="22"/>
      <c r="C81" s="24">
        <v>9420</v>
      </c>
      <c r="D81" s="24"/>
      <c r="E81" s="24">
        <v>10380</v>
      </c>
      <c r="F81" s="23">
        <f t="shared" si="17"/>
        <v>19459.400000000001</v>
      </c>
      <c r="G81" s="24">
        <v>10380</v>
      </c>
      <c r="H81" s="24">
        <v>9079.4</v>
      </c>
      <c r="I81" s="24"/>
      <c r="J81" s="24"/>
      <c r="K81" s="24">
        <f t="shared" si="19"/>
        <v>17092</v>
      </c>
      <c r="L81" s="24"/>
      <c r="M81" s="24">
        <f>1008+14548+1536</f>
        <v>17092</v>
      </c>
      <c r="N81" s="24"/>
      <c r="O81" s="22">
        <v>1004</v>
      </c>
      <c r="P81" s="25"/>
      <c r="Q81" s="26"/>
      <c r="R81" s="27"/>
      <c r="S81" s="81"/>
      <c r="T81" s="17" t="e">
        <f t="shared" si="16"/>
        <v>#DIV/0!</v>
      </c>
      <c r="U81" s="16">
        <f>J81/G81*100</f>
        <v>0</v>
      </c>
      <c r="V81" s="17">
        <f>L81/G81*100</f>
        <v>0</v>
      </c>
      <c r="W81" s="30"/>
      <c r="X81" s="24">
        <v>6400.4</v>
      </c>
      <c r="Y81" s="19">
        <f t="shared" si="18"/>
        <v>0</v>
      </c>
    </row>
    <row r="82" spans="1:26" ht="16.149999999999999" hidden="1" customHeight="1" x14ac:dyDescent="0.25">
      <c r="A82" s="28" t="s">
        <v>141</v>
      </c>
      <c r="B82" s="22"/>
      <c r="C82" s="24">
        <v>24435</v>
      </c>
      <c r="D82" s="24">
        <v>-4551</v>
      </c>
      <c r="E82" s="24">
        <v>18065</v>
      </c>
      <c r="F82" s="23">
        <f t="shared" si="17"/>
        <v>18065</v>
      </c>
      <c r="G82" s="24"/>
      <c r="H82" s="24">
        <v>18065</v>
      </c>
      <c r="I82" s="24"/>
      <c r="J82" s="24">
        <v>300</v>
      </c>
      <c r="K82" s="24">
        <f t="shared" si="19"/>
        <v>22492</v>
      </c>
      <c r="L82" s="24">
        <v>261</v>
      </c>
      <c r="M82" s="24">
        <v>22231</v>
      </c>
      <c r="N82" s="24"/>
      <c r="O82" s="22">
        <v>1006</v>
      </c>
      <c r="P82" s="25"/>
      <c r="Q82" s="26"/>
      <c r="R82" s="27"/>
      <c r="S82" s="81"/>
      <c r="T82" s="17" t="e">
        <f t="shared" si="16"/>
        <v>#DIV/0!</v>
      </c>
      <c r="U82" s="16"/>
      <c r="V82" s="17"/>
      <c r="W82" s="30"/>
      <c r="X82" s="24">
        <v>9504.4</v>
      </c>
      <c r="Y82" s="19">
        <f t="shared" si="18"/>
        <v>2.7460965447582173</v>
      </c>
    </row>
    <row r="83" spans="1:26" ht="24" hidden="1" customHeight="1" x14ac:dyDescent="0.25">
      <c r="A83" s="28" t="s">
        <v>142</v>
      </c>
      <c r="B83" s="22" t="s">
        <v>143</v>
      </c>
      <c r="C83" s="24"/>
      <c r="D83" s="24"/>
      <c r="E83" s="24">
        <v>4600</v>
      </c>
      <c r="F83" s="23">
        <f t="shared" si="17"/>
        <v>7600</v>
      </c>
      <c r="G83" s="24">
        <v>7600</v>
      </c>
      <c r="H83" s="24"/>
      <c r="I83" s="24"/>
      <c r="J83" s="24">
        <v>5257</v>
      </c>
      <c r="K83" s="24">
        <f t="shared" si="19"/>
        <v>5200</v>
      </c>
      <c r="L83" s="24">
        <f>4600+600</f>
        <v>5200</v>
      </c>
      <c r="M83" s="24"/>
      <c r="N83" s="24"/>
      <c r="O83" s="22" t="s">
        <v>143</v>
      </c>
      <c r="P83" s="25"/>
      <c r="Q83" s="26"/>
      <c r="R83" s="27"/>
      <c r="S83" s="81"/>
      <c r="T83" s="17" t="e">
        <f t="shared" si="16"/>
        <v>#DIV/0!</v>
      </c>
      <c r="U83" s="16">
        <f>J83/G83*100</f>
        <v>69.171052631578945</v>
      </c>
      <c r="V83" s="17">
        <f>L83/G83*100</f>
        <v>68.421052631578945</v>
      </c>
      <c r="W83" s="30"/>
      <c r="X83" s="24">
        <v>3408.6</v>
      </c>
      <c r="Y83" s="19">
        <f t="shared" si="18"/>
        <v>152.55530129672005</v>
      </c>
    </row>
    <row r="84" spans="1:26" ht="19.149999999999999" customHeight="1" x14ac:dyDescent="0.25">
      <c r="A84" s="9" t="s">
        <v>144</v>
      </c>
      <c r="B84" s="10" t="s">
        <v>145</v>
      </c>
      <c r="C84" s="11">
        <f t="shared" ref="C84:N84" si="20">SUM(C85:C87)</f>
        <v>114339</v>
      </c>
      <c r="D84" s="11">
        <f t="shared" si="20"/>
        <v>0</v>
      </c>
      <c r="E84" s="11">
        <f t="shared" si="20"/>
        <v>178445</v>
      </c>
      <c r="F84" s="11">
        <f t="shared" si="20"/>
        <v>146408.20000000001</v>
      </c>
      <c r="G84" s="11">
        <f t="shared" si="20"/>
        <v>146408.20000000001</v>
      </c>
      <c r="H84" s="11">
        <f t="shared" si="20"/>
        <v>0</v>
      </c>
      <c r="I84" s="11">
        <f t="shared" si="20"/>
        <v>0</v>
      </c>
      <c r="J84" s="11">
        <f t="shared" si="20"/>
        <v>186361.5</v>
      </c>
      <c r="K84" s="11">
        <f t="shared" si="20"/>
        <v>185337.5</v>
      </c>
      <c r="L84" s="11">
        <f t="shared" si="20"/>
        <v>186361.5</v>
      </c>
      <c r="M84" s="11">
        <f t="shared" si="20"/>
        <v>0</v>
      </c>
      <c r="N84" s="11">
        <f t="shared" si="20"/>
        <v>0</v>
      </c>
      <c r="O84" s="10"/>
      <c r="P84" s="13">
        <v>70</v>
      </c>
      <c r="Q84" s="14"/>
      <c r="R84" s="15">
        <v>80</v>
      </c>
      <c r="S84" s="80">
        <v>10</v>
      </c>
      <c r="T84" s="17">
        <f t="shared" si="16"/>
        <v>12.5</v>
      </c>
      <c r="U84" s="16">
        <f>J84/G84*100</f>
        <v>127.28897698352961</v>
      </c>
      <c r="V84" s="17">
        <f>L84/G84*100</f>
        <v>127.28897698352961</v>
      </c>
      <c r="W84" s="18" t="e">
        <f>L84/L90*100</f>
        <v>#REF!</v>
      </c>
      <c r="X84" s="11">
        <f>SUM(X85:X88)</f>
        <v>39732.5</v>
      </c>
      <c r="Y84" s="19">
        <f t="shared" si="18"/>
        <v>469.04045806329833</v>
      </c>
    </row>
    <row r="85" spans="1:26" ht="2.4500000000000002" hidden="1" customHeight="1" x14ac:dyDescent="0.25">
      <c r="A85" s="28" t="s">
        <v>146</v>
      </c>
      <c r="B85" s="22"/>
      <c r="C85" s="24">
        <v>114339</v>
      </c>
      <c r="D85" s="24"/>
      <c r="E85" s="24">
        <v>178445</v>
      </c>
      <c r="F85" s="23">
        <f t="shared" si="17"/>
        <v>146408.20000000001</v>
      </c>
      <c r="G85" s="24">
        <v>146408.20000000001</v>
      </c>
      <c r="H85" s="24"/>
      <c r="I85" s="24"/>
      <c r="J85" s="24">
        <v>185337.5</v>
      </c>
      <c r="K85" s="24">
        <f t="shared" si="19"/>
        <v>185337.5</v>
      </c>
      <c r="L85" s="24">
        <f>185337.5</f>
        <v>185337.5</v>
      </c>
      <c r="M85" s="24"/>
      <c r="N85" s="24"/>
      <c r="O85" s="22" t="s">
        <v>147</v>
      </c>
      <c r="P85" s="25"/>
      <c r="Q85" s="26"/>
      <c r="R85" s="31"/>
      <c r="S85" s="81"/>
      <c r="T85" s="17" t="e">
        <f t="shared" si="16"/>
        <v>#DIV/0!</v>
      </c>
      <c r="U85" s="16">
        <f>J85/G85*100</f>
        <v>126.58956260646602</v>
      </c>
      <c r="V85" s="17">
        <f>L85/G85*100</f>
        <v>126.58956260646602</v>
      </c>
      <c r="W85" s="8"/>
      <c r="X85" s="24">
        <v>39732.5</v>
      </c>
      <c r="Y85" s="19">
        <f t="shared" si="18"/>
        <v>466.46322280249166</v>
      </c>
    </row>
    <row r="86" spans="1:26" ht="15.75" hidden="1" customHeight="1" x14ac:dyDescent="0.25">
      <c r="A86" s="28" t="s">
        <v>148</v>
      </c>
      <c r="B86" s="22"/>
      <c r="C86" s="24"/>
      <c r="D86" s="24"/>
      <c r="E86" s="24"/>
      <c r="F86" s="23">
        <f t="shared" si="17"/>
        <v>0</v>
      </c>
      <c r="G86" s="24"/>
      <c r="H86" s="24"/>
      <c r="I86" s="24"/>
      <c r="J86" s="24"/>
      <c r="K86" s="24"/>
      <c r="L86" s="24"/>
      <c r="M86" s="24"/>
      <c r="N86" s="24"/>
      <c r="O86" s="22" t="s">
        <v>149</v>
      </c>
      <c r="P86" s="25"/>
      <c r="Q86" s="26"/>
      <c r="R86" s="31"/>
      <c r="S86" s="81"/>
      <c r="T86" s="17" t="e">
        <f t="shared" si="16"/>
        <v>#DIV/0!</v>
      </c>
      <c r="U86" s="16"/>
      <c r="V86" s="17"/>
      <c r="W86" s="8"/>
      <c r="X86" s="24"/>
      <c r="Y86" s="19"/>
    </row>
    <row r="87" spans="1:26" ht="16.5" hidden="1" customHeight="1" x14ac:dyDescent="0.25">
      <c r="A87" s="28" t="s">
        <v>150</v>
      </c>
      <c r="B87" s="22"/>
      <c r="C87" s="24"/>
      <c r="D87" s="24"/>
      <c r="E87" s="24"/>
      <c r="F87" s="23">
        <f t="shared" si="17"/>
        <v>0</v>
      </c>
      <c r="G87" s="24"/>
      <c r="H87" s="24"/>
      <c r="I87" s="24"/>
      <c r="J87" s="24">
        <v>1024</v>
      </c>
      <c r="K87" s="24"/>
      <c r="L87" s="24">
        <v>1024</v>
      </c>
      <c r="M87" s="24"/>
      <c r="N87" s="24"/>
      <c r="O87" s="22" t="s">
        <v>151</v>
      </c>
      <c r="P87" s="25"/>
      <c r="Q87" s="26"/>
      <c r="R87" s="31"/>
      <c r="S87" s="81"/>
      <c r="T87" s="17" t="e">
        <f t="shared" si="16"/>
        <v>#DIV/0!</v>
      </c>
      <c r="U87" s="16" t="e">
        <f>J87/G87*100</f>
        <v>#DIV/0!</v>
      </c>
      <c r="V87" s="17"/>
      <c r="W87" s="8"/>
      <c r="X87" s="24"/>
      <c r="Y87" s="19"/>
    </row>
    <row r="88" spans="1:26" ht="18" customHeight="1" x14ac:dyDescent="0.25">
      <c r="A88" s="28" t="s">
        <v>152</v>
      </c>
      <c r="B88" s="22"/>
      <c r="C88" s="24"/>
      <c r="D88" s="24"/>
      <c r="E88" s="24"/>
      <c r="F88" s="23"/>
      <c r="G88" s="24"/>
      <c r="H88" s="24"/>
      <c r="I88" s="24"/>
      <c r="J88" s="24"/>
      <c r="K88" s="24"/>
      <c r="L88" s="24"/>
      <c r="M88" s="24"/>
      <c r="N88" s="24"/>
      <c r="O88" s="22" t="s">
        <v>149</v>
      </c>
      <c r="P88" s="25">
        <v>70</v>
      </c>
      <c r="Q88" s="26"/>
      <c r="R88" s="31">
        <v>80</v>
      </c>
      <c r="S88" s="81">
        <v>10</v>
      </c>
      <c r="T88" s="84">
        <f t="shared" si="16"/>
        <v>12.5</v>
      </c>
      <c r="U88" s="16" t="e">
        <f>J88/G88*100</f>
        <v>#DIV/0!</v>
      </c>
      <c r="V88" s="17" t="e">
        <f>L88/G88*100</f>
        <v>#DIV/0!</v>
      </c>
      <c r="W88" s="8"/>
      <c r="X88" s="24"/>
      <c r="Y88" s="19"/>
    </row>
    <row r="89" spans="1:26" ht="0.6" hidden="1" customHeight="1" x14ac:dyDescent="0.25">
      <c r="A89" s="36" t="s">
        <v>153</v>
      </c>
      <c r="B89" s="37"/>
      <c r="C89" s="38"/>
      <c r="D89" s="38"/>
      <c r="E89" s="38"/>
      <c r="F89" s="39"/>
      <c r="G89" s="38"/>
      <c r="H89" s="38"/>
      <c r="I89" s="38"/>
      <c r="J89" s="38"/>
      <c r="K89" s="38"/>
      <c r="L89" s="38"/>
      <c r="M89" s="38"/>
      <c r="N89" s="38"/>
      <c r="O89" s="37" t="s">
        <v>154</v>
      </c>
      <c r="P89" s="40"/>
      <c r="Q89" s="41"/>
      <c r="R89" s="42"/>
      <c r="S89" s="82"/>
      <c r="T89" s="17" t="e">
        <f t="shared" si="16"/>
        <v>#DIV/0!</v>
      </c>
      <c r="U89" s="16"/>
      <c r="V89" s="17"/>
      <c r="W89" s="8"/>
      <c r="X89" s="24"/>
      <c r="Y89" s="19"/>
    </row>
    <row r="90" spans="1:26" ht="22.15" customHeight="1" thickBot="1" x14ac:dyDescent="0.3">
      <c r="A90" s="43" t="s">
        <v>155</v>
      </c>
      <c r="B90" s="44"/>
      <c r="C90" s="45" t="e">
        <f>SUM(C13+C34+C38+C49+C61+C70+#REF!+#REF!+C84)</f>
        <v>#REF!</v>
      </c>
      <c r="D90" s="45" t="e">
        <f>SUM(D13+D34+D38+D49+D61+D70+#REF!+#REF!+D84)</f>
        <v>#REF!</v>
      </c>
      <c r="E90" s="46" t="e">
        <f>SUM(E13+E34+E38+E49+E58+E61+E70+#REF!+#REF!+E84)</f>
        <v>#REF!</v>
      </c>
      <c r="F90" s="46" t="e">
        <f>SUM(F13+F34+F38+F49+F58+F61+F70+#REF!+#REF!+F84)</f>
        <v>#REF!</v>
      </c>
      <c r="G90" s="46" t="e">
        <f>SUM(G13+G34+G38+G49+G58+G61+G70+#REF!+#REF!+G84)</f>
        <v>#REF!</v>
      </c>
      <c r="H90" s="46" t="e">
        <f>SUM(H13+H34+H38+H49+H58+H61+H70+#REF!+#REF!+H84)</f>
        <v>#REF!</v>
      </c>
      <c r="I90" s="46" t="e">
        <f>SUM(I13+I34+I38+I49+I58+I61+I70+#REF!+#REF!+I84)</f>
        <v>#REF!</v>
      </c>
      <c r="J90" s="46" t="e">
        <f>SUM(J13+J34+J38+J49+J58+J61+J70+#REF!+#REF!+J84)</f>
        <v>#REF!</v>
      </c>
      <c r="K90" s="46" t="e">
        <f>SUM(K13+K34+K38+K49+K58+K61+K70+#REF!+#REF!+K84)</f>
        <v>#REF!</v>
      </c>
      <c r="L90" s="46" t="e">
        <f>SUM(L13+L34+L38+L49+L58+L61+L70+#REF!+#REF!+L84)</f>
        <v>#REF!</v>
      </c>
      <c r="M90" s="46" t="e">
        <f>SUM(M13+M34+M38+M49+M58+M61+M70+#REF!+#REF!+M84)</f>
        <v>#REF!</v>
      </c>
      <c r="N90" s="46" t="e">
        <f>SUM(N13+N34+N38+N49+N58+N61+N70+#REF!+#REF!+N84)</f>
        <v>#REF!</v>
      </c>
      <c r="O90" s="44"/>
      <c r="P90" s="47">
        <v>18086</v>
      </c>
      <c r="Q90" s="48">
        <v>209.459</v>
      </c>
      <c r="R90" s="49">
        <f>R13+R30+R34+R38+R49+R67+R70+R75+R84</f>
        <v>58915.06</v>
      </c>
      <c r="S90" s="83">
        <f>S13+S30+S34+S38+S49+S67+S70+S75+S84</f>
        <v>6592.17</v>
      </c>
      <c r="T90" s="17">
        <f t="shared" si="16"/>
        <v>11.189278259243054</v>
      </c>
      <c r="U90" s="16" t="e">
        <f>J90/G90*100</f>
        <v>#REF!</v>
      </c>
      <c r="V90" s="17" t="e">
        <f>L90/G90*100</f>
        <v>#REF!</v>
      </c>
      <c r="W90" s="50" t="e">
        <f>SUM(W13:W85)</f>
        <v>#REF!</v>
      </c>
      <c r="X90" s="12" t="e">
        <f>SUM(X13+X34+X38+X49+X58+X61+X70+#REF!+#REF!+X84)</f>
        <v>#REF!</v>
      </c>
      <c r="Y90" s="19" t="e">
        <f>L90/X90*100</f>
        <v>#REF!</v>
      </c>
      <c r="Z90" s="20"/>
    </row>
    <row r="91" spans="1:26" ht="13.5" hidden="1" customHeight="1" x14ac:dyDescent="0.25">
      <c r="A91" s="51" t="s">
        <v>156</v>
      </c>
      <c r="B91" s="52"/>
      <c r="C91" s="53"/>
      <c r="D91" s="53"/>
      <c r="E91" s="54">
        <v>0</v>
      </c>
      <c r="F91" s="55">
        <f>-43123.7-16350</f>
        <v>-59473.7</v>
      </c>
      <c r="G91" s="53"/>
      <c r="H91" s="53"/>
      <c r="I91" s="53"/>
      <c r="J91" s="54">
        <v>0</v>
      </c>
      <c r="K91" s="56">
        <v>0</v>
      </c>
      <c r="L91" s="54">
        <v>63802.8</v>
      </c>
      <c r="M91" s="54">
        <v>0</v>
      </c>
      <c r="N91" s="54">
        <v>0</v>
      </c>
      <c r="O91" s="52"/>
      <c r="P91" s="52"/>
      <c r="Q91" s="52"/>
      <c r="R91" s="52"/>
      <c r="S91" s="52"/>
      <c r="T91" s="52"/>
      <c r="U91" s="57"/>
      <c r="V91" s="58"/>
      <c r="W91" s="59"/>
      <c r="X91" s="60">
        <v>76369.2</v>
      </c>
      <c r="Y91" s="61"/>
    </row>
    <row r="92" spans="1:26" s="71" customFormat="1" ht="12.75" hidden="1" customHeight="1" x14ac:dyDescent="0.2">
      <c r="A92" s="62" t="s">
        <v>157</v>
      </c>
      <c r="B92" s="63"/>
      <c r="C92" s="64"/>
      <c r="D92" s="64"/>
      <c r="E92" s="64"/>
      <c r="F92" s="64"/>
      <c r="G92" s="64"/>
      <c r="H92" s="64"/>
      <c r="I92" s="64"/>
      <c r="J92" s="65"/>
      <c r="K92" s="64"/>
      <c r="L92" s="66">
        <v>1193121.2</v>
      </c>
      <c r="M92" s="67">
        <v>1131115</v>
      </c>
      <c r="N92" s="67">
        <v>113200</v>
      </c>
      <c r="O92" s="63"/>
      <c r="P92" s="63"/>
      <c r="Q92" s="63"/>
      <c r="R92" s="63"/>
      <c r="S92" s="63"/>
      <c r="T92" s="63"/>
      <c r="U92" s="65"/>
      <c r="V92" s="68"/>
      <c r="W92" s="69"/>
      <c r="X92" s="70"/>
    </row>
    <row r="93" spans="1:26" ht="7.5" customHeight="1" x14ac:dyDescent="0.2">
      <c r="L93" s="72"/>
    </row>
    <row r="94" spans="1:26" ht="12.75" customHeight="1" x14ac:dyDescent="0.25">
      <c r="A94" s="73"/>
      <c r="B94" s="7"/>
      <c r="C94" s="2"/>
      <c r="D94" s="2"/>
      <c r="E94" s="2"/>
      <c r="F94" t="s">
        <v>158</v>
      </c>
      <c r="G94">
        <f>728.2</f>
        <v>728.2</v>
      </c>
      <c r="J94" s="72"/>
      <c r="L94" s="74" t="e">
        <f>L92-L90</f>
        <v>#REF!</v>
      </c>
      <c r="N94" s="75" t="e">
        <f>N92-N90</f>
        <v>#REF!</v>
      </c>
      <c r="O94" s="7"/>
      <c r="P94" s="7"/>
      <c r="Q94" s="7"/>
      <c r="R94" s="7"/>
      <c r="S94" s="7"/>
      <c r="T94" s="7"/>
    </row>
    <row r="95" spans="1:26" ht="15" customHeight="1" x14ac:dyDescent="0.25">
      <c r="A95" s="5"/>
      <c r="B95" s="7"/>
      <c r="C95" s="2"/>
      <c r="D95" s="2"/>
      <c r="E95" s="2"/>
      <c r="F95" t="s">
        <v>159</v>
      </c>
      <c r="G95" s="76">
        <f>2132.8</f>
        <v>2132.8000000000002</v>
      </c>
      <c r="M95" s="71"/>
      <c r="O95" s="7"/>
      <c r="P95" s="7"/>
      <c r="Q95" s="7"/>
      <c r="R95" s="7"/>
      <c r="S95" s="7"/>
      <c r="T95" s="7"/>
    </row>
    <row r="96" spans="1:26" ht="15" customHeight="1" x14ac:dyDescent="0.25">
      <c r="A96" s="5"/>
      <c r="B96" s="7"/>
      <c r="C96" s="2"/>
      <c r="D96" s="2"/>
      <c r="E96" s="2"/>
      <c r="F96" t="s">
        <v>160</v>
      </c>
      <c r="G96" s="76">
        <v>99705</v>
      </c>
      <c r="M96" s="71"/>
      <c r="O96" s="7"/>
      <c r="P96" s="7"/>
      <c r="Q96" s="7"/>
      <c r="R96" s="7"/>
      <c r="S96" s="7"/>
      <c r="T96" s="7"/>
    </row>
    <row r="97" spans="1:20" ht="15" customHeight="1" x14ac:dyDescent="0.25">
      <c r="A97" s="77"/>
      <c r="B97" s="7"/>
      <c r="C97" s="2"/>
      <c r="D97" s="2"/>
      <c r="E97" s="2"/>
      <c r="F97" t="s">
        <v>161</v>
      </c>
      <c r="G97" s="76">
        <v>19806.2</v>
      </c>
      <c r="J97" s="72"/>
      <c r="L97" s="72"/>
      <c r="M97" s="71"/>
      <c r="O97" s="7"/>
      <c r="P97" s="7"/>
      <c r="Q97" s="7"/>
      <c r="R97" s="7"/>
      <c r="S97" s="7"/>
      <c r="T97" s="7"/>
    </row>
    <row r="98" spans="1:20" ht="15" customHeight="1" x14ac:dyDescent="0.25">
      <c r="A98" s="78"/>
      <c r="B98" s="7"/>
      <c r="C98" s="2"/>
      <c r="D98" s="2"/>
      <c r="E98" s="2"/>
      <c r="G98" s="75" t="e">
        <f>G90+G94+G95+G96+G97</f>
        <v>#REF!</v>
      </c>
      <c r="O98" s="7"/>
      <c r="P98" s="7"/>
      <c r="Q98" s="7"/>
      <c r="R98" s="7"/>
      <c r="S98" s="7"/>
      <c r="T98" s="7"/>
    </row>
    <row r="99" spans="1:20" ht="12.75" customHeight="1" x14ac:dyDescent="0.25">
      <c r="A99" s="79"/>
      <c r="B99" s="7"/>
      <c r="C99" s="2"/>
      <c r="D99" s="2"/>
      <c r="E99" s="2"/>
      <c r="O99" s="7"/>
      <c r="P99" s="7"/>
      <c r="Q99" s="7"/>
      <c r="R99" s="7"/>
      <c r="S99" s="7"/>
      <c r="T99" s="7"/>
    </row>
    <row r="100" spans="1:20" ht="12.75" customHeight="1" x14ac:dyDescent="0.25">
      <c r="A100" s="79"/>
      <c r="B100" s="7"/>
      <c r="C100" s="2"/>
      <c r="D100" s="2"/>
      <c r="E100" s="2"/>
      <c r="O100" s="7"/>
      <c r="P100" s="7"/>
      <c r="Q100" s="7"/>
      <c r="R100" s="7"/>
      <c r="S100" s="7"/>
      <c r="T100" s="7"/>
    </row>
    <row r="101" spans="1:20" x14ac:dyDescent="0.2">
      <c r="B101" s="7"/>
      <c r="C101" s="2"/>
      <c r="D101" s="2"/>
      <c r="E101" s="2"/>
      <c r="O101" s="7"/>
      <c r="P101" s="7"/>
      <c r="Q101" s="7"/>
      <c r="R101" s="7"/>
      <c r="S101" s="7"/>
      <c r="T101" s="7"/>
    </row>
    <row r="102" spans="1:20" ht="15" x14ac:dyDescent="0.25">
      <c r="A102" s="79"/>
      <c r="B102" s="7"/>
      <c r="C102" s="2"/>
      <c r="D102" s="2"/>
      <c r="E102" s="2"/>
      <c r="O102" s="7"/>
      <c r="P102" s="7"/>
      <c r="Q102" s="7"/>
      <c r="R102" s="7"/>
      <c r="S102" s="7"/>
      <c r="T102" s="7"/>
    </row>
    <row r="103" spans="1:20" ht="15" x14ac:dyDescent="0.25">
      <c r="A103" s="78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5" x14ac:dyDescent="0.25">
      <c r="A104" s="79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1:20" ht="15" x14ac:dyDescent="0.25">
      <c r="A105" s="79"/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x14ac:dyDescent="0.2">
      <c r="A106" s="2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5" x14ac:dyDescent="0.25">
      <c r="A107" s="79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x14ac:dyDescent="0.2">
      <c r="A108" s="2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x14ac:dyDescent="0.2">
      <c r="A109" s="2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x14ac:dyDescent="0.2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x14ac:dyDescent="0.2">
      <c r="A111" s="2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x14ac:dyDescent="0.2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x14ac:dyDescent="0.2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x14ac:dyDescent="0.2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x14ac:dyDescent="0.2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x14ac:dyDescent="0.2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x14ac:dyDescent="0.2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x14ac:dyDescent="0.2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x14ac:dyDescent="0.2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x14ac:dyDescent="0.2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x14ac:dyDescent="0.2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x14ac:dyDescent="0.2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x14ac:dyDescent="0.2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x14ac:dyDescent="0.2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x14ac:dyDescent="0.2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x14ac:dyDescent="0.2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x14ac:dyDescent="0.2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x14ac:dyDescent="0.2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x14ac:dyDescent="0.2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x14ac:dyDescent="0.2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x14ac:dyDescent="0.2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x14ac:dyDescent="0.2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x14ac:dyDescent="0.2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x14ac:dyDescent="0.2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x14ac:dyDescent="0.2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x14ac:dyDescent="0.2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x14ac:dyDescent="0.2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x14ac:dyDescent="0.2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x14ac:dyDescent="0.2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x14ac:dyDescent="0.2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x14ac:dyDescent="0.2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x14ac:dyDescent="0.2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x14ac:dyDescent="0.2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x14ac:dyDescent="0.2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x14ac:dyDescent="0.2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x14ac:dyDescent="0.2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x14ac:dyDescent="0.2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x14ac:dyDescent="0.2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x14ac:dyDescent="0.2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x14ac:dyDescent="0.2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x14ac:dyDescent="0.2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x14ac:dyDescent="0.2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x14ac:dyDescent="0.2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x14ac:dyDescent="0.2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x14ac:dyDescent="0.2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x14ac:dyDescent="0.2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x14ac:dyDescent="0.2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x14ac:dyDescent="0.2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x14ac:dyDescent="0.2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x14ac:dyDescent="0.2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x14ac:dyDescent="0.2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x14ac:dyDescent="0.2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x14ac:dyDescent="0.2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x14ac:dyDescent="0.2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x14ac:dyDescent="0.2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x14ac:dyDescent="0.2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x14ac:dyDescent="0.2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x14ac:dyDescent="0.2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x14ac:dyDescent="0.2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x14ac:dyDescent="0.2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x14ac:dyDescent="0.2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x14ac:dyDescent="0.2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  <row r="173" spans="1:20" x14ac:dyDescent="0.2">
      <c r="A173" s="2"/>
      <c r="B173" s="7"/>
      <c r="C173" s="2"/>
      <c r="D173" s="2"/>
      <c r="E173" s="2"/>
      <c r="O173" s="7"/>
      <c r="P173" s="7"/>
      <c r="Q173" s="7"/>
      <c r="R173" s="7"/>
      <c r="S173" s="7"/>
      <c r="T173" s="7"/>
    </row>
    <row r="174" spans="1:20" x14ac:dyDescent="0.2">
      <c r="A174" s="2"/>
      <c r="B174" s="7"/>
      <c r="C174" s="2"/>
      <c r="D174" s="2"/>
      <c r="E174" s="2"/>
      <c r="O174" s="7"/>
      <c r="P174" s="7"/>
      <c r="Q174" s="7"/>
      <c r="R174" s="7"/>
      <c r="S174" s="7"/>
      <c r="T174" s="7"/>
    </row>
  </sheetData>
  <sheetProtection selectLockedCells="1" selectUnlockedCells="1"/>
  <mergeCells count="32">
    <mergeCell ref="R10:R12"/>
    <mergeCell ref="S10:S12"/>
    <mergeCell ref="J10:J12"/>
    <mergeCell ref="K10:K12"/>
    <mergeCell ref="L10:N10"/>
    <mergeCell ref="O10:O12"/>
    <mergeCell ref="B1:T1"/>
    <mergeCell ref="B2:T2"/>
    <mergeCell ref="B3:T3"/>
    <mergeCell ref="B4:T4"/>
    <mergeCell ref="B5:T5"/>
    <mergeCell ref="A8:X8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X10:X12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</mergeCells>
  <pageMargins left="0.59027777777777779" right="0" top="0" bottom="0" header="0.51180555555555551" footer="0.51180555555555551"/>
  <pageSetup paperSize="9" scale="8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2022-07-07T08:01:38Z</cp:lastPrinted>
  <dcterms:created xsi:type="dcterms:W3CDTF">2022-07-12T14:46:30Z</dcterms:created>
  <dcterms:modified xsi:type="dcterms:W3CDTF">2022-07-12T14:46:30Z</dcterms:modified>
</cp:coreProperties>
</file>